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Начальник ПЕВ\2019-2024 Фінансовий план підприєм\фінплан 2024\звіт за І півріччя 2024\"/>
    </mc:Choice>
  </mc:AlternateContent>
  <xr:revisionPtr revIDLastSave="0" documentId="13_ncr:1_{196C877F-8103-418E-991A-349FF970D449}" xr6:coauthVersionLast="47" xr6:coauthVersionMax="47" xr10:uidLastSave="{00000000-0000-0000-0000-000000000000}"/>
  <bookViews>
    <workbookView xWindow="-120" yWindow="-120" windowWidth="29040" windowHeight="15840" tabRatio="838" xr2:uid="{00000000-000D-0000-FFFF-FFFF00000000}"/>
  </bookViews>
  <sheets>
    <sheet name="Звіт про виконання показ фінпла" sheetId="14" r:id="rId1"/>
    <sheet name="Розшифровка 1 до Формування" sheetId="22" r:id="rId2"/>
    <sheet name="Розшифровка 2 до формування" sheetId="26" r:id="rId3"/>
    <sheet name="Розшифровка кап" sheetId="24" r:id="rId4"/>
    <sheet name="Розшифровка за джерелами" sheetId="9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'Звіт про виконання показ фінпла'!$4:$6</definedName>
    <definedName name="_xlnm.Print_Titles" localSheetId="1">'Розшифровка 1 до Формування'!$3:$4</definedName>
    <definedName name="_xlnm.Print_Titles" localSheetId="2">'Розшифровка 2 до формування'!$3:$4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'Звіт про виконання показ фінпла'!$A$1:$H$98</definedName>
    <definedName name="_xlnm.Print_Area" localSheetId="1">'Розшифровка 1 до Формування'!$A$1:$H$108</definedName>
    <definedName name="_xlnm.Print_Area" localSheetId="2">'Розшифровка 2 до формування'!$A$1:$H$206</definedName>
    <definedName name="_xlnm.Print_Area" localSheetId="4">'Розшифровка за джерелами'!$A$1:$N$23</definedName>
    <definedName name="_xlnm.Print_Area" localSheetId="3">'Розшифровка кап'!$A$1:$G$34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24" l="1"/>
  <c r="K7" i="26"/>
  <c r="K26" i="26"/>
  <c r="K23" i="26"/>
  <c r="K14" i="26"/>
  <c r="K10" i="26"/>
  <c r="K9" i="26"/>
  <c r="K30" i="26"/>
  <c r="K29" i="26"/>
  <c r="K28" i="26"/>
  <c r="K27" i="26"/>
  <c r="K25" i="26"/>
  <c r="K21" i="26"/>
  <c r="K20" i="26"/>
  <c r="K34" i="26" s="1"/>
  <c r="K18" i="26"/>
  <c r="K17" i="26"/>
  <c r="K13" i="26"/>
  <c r="K37" i="26" s="1"/>
  <c r="K12" i="26"/>
  <c r="K36" i="26" s="1"/>
  <c r="K11" i="26"/>
  <c r="E65" i="26"/>
  <c r="L25" i="26" s="1"/>
  <c r="D65" i="26"/>
  <c r="M25" i="26"/>
  <c r="E85" i="14"/>
  <c r="K33" i="26" l="1"/>
  <c r="K40" i="26" s="1"/>
  <c r="K38" i="26"/>
  <c r="F93" i="14"/>
  <c r="D93" i="14"/>
  <c r="C42" i="14"/>
  <c r="M20" i="9"/>
  <c r="M19" i="9"/>
  <c r="M18" i="9"/>
  <c r="L19" i="9"/>
  <c r="H16" i="9"/>
  <c r="L16" i="9" s="1"/>
  <c r="L18" i="9"/>
  <c r="H21" i="9" l="1"/>
  <c r="J6" i="9"/>
  <c r="J21" i="9" s="1"/>
  <c r="F64" i="14" l="1"/>
  <c r="F57" i="14"/>
  <c r="F52" i="14"/>
  <c r="E32" i="24"/>
  <c r="E27" i="24"/>
  <c r="F96" i="14"/>
  <c r="F95" i="14"/>
  <c r="F94" i="14"/>
  <c r="F89" i="14"/>
  <c r="F85" i="14"/>
  <c r="C96" i="14"/>
  <c r="D96" i="14"/>
  <c r="D95" i="14"/>
  <c r="D94" i="14"/>
  <c r="F25" i="14"/>
  <c r="F22" i="14"/>
  <c r="F16" i="14"/>
  <c r="F9" i="14"/>
  <c r="F15" i="14" s="1"/>
  <c r="F31" i="14" s="1"/>
  <c r="M30" i="26"/>
  <c r="L30" i="26"/>
  <c r="M14" i="26"/>
  <c r="F23" i="26"/>
  <c r="F94" i="26"/>
  <c r="F95" i="26"/>
  <c r="D9" i="14"/>
  <c r="F70" i="22"/>
  <c r="F40" i="22"/>
  <c r="F30" i="22"/>
  <c r="F60" i="22"/>
  <c r="F54" i="22"/>
  <c r="F41" i="22"/>
  <c r="F34" i="22"/>
  <c r="F36" i="22"/>
  <c r="F37" i="22"/>
  <c r="F46" i="22"/>
  <c r="F45" i="22"/>
  <c r="F44" i="22"/>
  <c r="F43" i="22"/>
  <c r="F94" i="22"/>
  <c r="F93" i="22"/>
  <c r="F92" i="22"/>
  <c r="F91" i="22"/>
  <c r="F55" i="22"/>
  <c r="F49" i="22"/>
  <c r="F48" i="22"/>
  <c r="F33" i="22"/>
  <c r="F28" i="26" l="1"/>
  <c r="F43" i="26"/>
  <c r="F38" i="26"/>
  <c r="F61" i="26"/>
  <c r="F63" i="26"/>
  <c r="F60" i="26"/>
  <c r="F32" i="26"/>
  <c r="F33" i="26"/>
  <c r="F40" i="26"/>
  <c r="F9" i="26"/>
  <c r="F197" i="26"/>
  <c r="F195" i="26" s="1"/>
  <c r="F179" i="26"/>
  <c r="F12" i="22" l="1"/>
  <c r="F5" i="22" s="1"/>
  <c r="F6" i="22"/>
  <c r="F25" i="26" l="1"/>
  <c r="F29" i="26"/>
  <c r="F24" i="26"/>
  <c r="F146" i="26" l="1"/>
  <c r="G170" i="26" l="1"/>
  <c r="F79" i="26" l="1"/>
  <c r="G104" i="26" l="1"/>
  <c r="F103" i="26"/>
  <c r="G103" i="26" s="1"/>
  <c r="D27" i="24"/>
  <c r="E57" i="26"/>
  <c r="G35" i="26"/>
  <c r="H35" i="26"/>
  <c r="E100" i="22"/>
  <c r="E103" i="22"/>
  <c r="E85" i="22"/>
  <c r="E47" i="22"/>
  <c r="G62" i="22"/>
  <c r="H62" i="22"/>
  <c r="E6" i="22" l="1"/>
  <c r="E93" i="14" l="1"/>
  <c r="E96" i="14"/>
  <c r="E95" i="14"/>
  <c r="E94" i="14"/>
  <c r="C95" i="14" l="1"/>
  <c r="C94" i="14"/>
  <c r="C89" i="14"/>
  <c r="C93" i="14" s="1"/>
  <c r="C88" i="14"/>
  <c r="C85" i="14" s="1"/>
  <c r="C81" i="14"/>
  <c r="C57" i="14"/>
  <c r="C52" i="14"/>
  <c r="C45" i="14"/>
  <c r="C25" i="14"/>
  <c r="C22" i="14"/>
  <c r="C16" i="14"/>
  <c r="C15" i="14"/>
  <c r="C31" i="14" s="1"/>
  <c r="C36" i="14" s="1"/>
  <c r="C39" i="14" s="1"/>
  <c r="C9" i="14"/>
  <c r="C43" i="14" s="1"/>
  <c r="C27" i="24"/>
  <c r="G198" i="26"/>
  <c r="G197" i="26"/>
  <c r="G195" i="26"/>
  <c r="E9" i="26"/>
  <c r="D183" i="26"/>
  <c r="D158" i="26"/>
  <c r="D157" i="26" s="1"/>
  <c r="C40" i="14" l="1"/>
  <c r="D146" i="26"/>
  <c r="D144" i="26"/>
  <c r="D136" i="26" s="1"/>
  <c r="D135" i="26" s="1"/>
  <c r="D133" i="26" s="1"/>
  <c r="D96" i="26"/>
  <c r="D79" i="26"/>
  <c r="D57" i="26"/>
  <c r="D38" i="26"/>
  <c r="D94" i="22"/>
  <c r="D93" i="22"/>
  <c r="D92" i="22"/>
  <c r="D91" i="22"/>
  <c r="D69" i="22"/>
  <c r="D68" i="22"/>
  <c r="D67" i="22"/>
  <c r="D64" i="22"/>
  <c r="D61" i="22"/>
  <c r="D59" i="22"/>
  <c r="D58" i="22"/>
  <c r="D56" i="22"/>
  <c r="D55" i="22"/>
  <c r="D54" i="22"/>
  <c r="D53" i="22"/>
  <c r="D52" i="22"/>
  <c r="D50" i="22"/>
  <c r="D49" i="22"/>
  <c r="D48" i="22"/>
  <c r="D46" i="22"/>
  <c r="D45" i="22"/>
  <c r="D44" i="22"/>
  <c r="D43" i="22"/>
  <c r="D42" i="22"/>
  <c r="D41" i="22"/>
  <c r="D40" i="22"/>
  <c r="D39" i="22"/>
  <c r="D37" i="22"/>
  <c r="D36" i="22"/>
  <c r="D34" i="22"/>
  <c r="D33" i="22"/>
  <c r="D32" i="22"/>
  <c r="D30" i="22"/>
  <c r="D47" i="22" l="1"/>
  <c r="D85" i="22"/>
  <c r="D23" i="22"/>
  <c r="D20" i="22"/>
  <c r="D16" i="22"/>
  <c r="D8" i="22"/>
  <c r="D7" i="22"/>
  <c r="F43" i="14" l="1"/>
  <c r="F46" i="14" l="1"/>
  <c r="H6" i="9" l="1"/>
  <c r="F68" i="14" l="1"/>
  <c r="E5" i="24"/>
  <c r="D22" i="14"/>
  <c r="M11" i="26"/>
  <c r="F47" i="22" l="1"/>
  <c r="F29" i="22"/>
  <c r="F169" i="26"/>
  <c r="F168" i="26" l="1"/>
  <c r="F183" i="26"/>
  <c r="F178" i="26" s="1"/>
  <c r="F120" i="26"/>
  <c r="F36" i="26"/>
  <c r="F166" i="26" l="1"/>
  <c r="F57" i="26"/>
  <c r="F23" i="22"/>
  <c r="H36" i="22"/>
  <c r="E183" i="26"/>
  <c r="G186" i="26"/>
  <c r="H186" i="26"/>
  <c r="E51" i="26"/>
  <c r="E23" i="26"/>
  <c r="E8" i="26" s="1"/>
  <c r="G16" i="26"/>
  <c r="H16" i="26" s="1"/>
  <c r="G74" i="22"/>
  <c r="H74" i="22"/>
  <c r="G95" i="14"/>
  <c r="E9" i="14" l="1"/>
  <c r="E15" i="14" s="1"/>
  <c r="E16" i="14"/>
  <c r="E22" i="14"/>
  <c r="E42" i="14" s="1"/>
  <c r="E25" i="14"/>
  <c r="E43" i="14"/>
  <c r="E31" i="14" l="1"/>
  <c r="E36" i="14" s="1"/>
  <c r="E39" i="14" s="1"/>
  <c r="E40" i="14"/>
  <c r="C6" i="24" l="1"/>
  <c r="D203" i="26"/>
  <c r="D163" i="26"/>
  <c r="D73" i="26"/>
  <c r="D71" i="26" s="1"/>
  <c r="D51" i="26"/>
  <c r="D23" i="26"/>
  <c r="D9" i="26"/>
  <c r="D103" i="22"/>
  <c r="D100" i="22" s="1"/>
  <c r="C64" i="14"/>
  <c r="C68" i="14" s="1"/>
  <c r="D6" i="22" l="1"/>
  <c r="D12" i="22"/>
  <c r="G28" i="24"/>
  <c r="H106" i="22"/>
  <c r="G106" i="22"/>
  <c r="H105" i="22"/>
  <c r="G105" i="22"/>
  <c r="H104" i="22"/>
  <c r="G104" i="22"/>
  <c r="H97" i="22"/>
  <c r="G97" i="22"/>
  <c r="H96" i="22"/>
  <c r="G96" i="22"/>
  <c r="H95" i="22"/>
  <c r="G95" i="22"/>
  <c r="H94" i="22"/>
  <c r="G94" i="22"/>
  <c r="H93" i="22"/>
  <c r="G93" i="22"/>
  <c r="H92" i="22"/>
  <c r="G92" i="22"/>
  <c r="H91" i="22"/>
  <c r="G91" i="22"/>
  <c r="H84" i="22"/>
  <c r="G84" i="22"/>
  <c r="H83" i="22"/>
  <c r="G83" i="22"/>
  <c r="H82" i="22"/>
  <c r="G82" i="22"/>
  <c r="H77" i="22"/>
  <c r="G77" i="22"/>
  <c r="H76" i="22"/>
  <c r="G76" i="22"/>
  <c r="H75" i="22"/>
  <c r="G75" i="22"/>
  <c r="H73" i="22"/>
  <c r="G73" i="22"/>
  <c r="H72" i="22"/>
  <c r="G72" i="22"/>
  <c r="H60" i="22"/>
  <c r="G60" i="22"/>
  <c r="H59" i="22"/>
  <c r="G59" i="22"/>
  <c r="H57" i="22"/>
  <c r="G57" i="22"/>
  <c r="H51" i="22"/>
  <c r="G51" i="22"/>
  <c r="H42" i="22"/>
  <c r="G42" i="22"/>
  <c r="H40" i="22"/>
  <c r="G40" i="22"/>
  <c r="H39" i="22"/>
  <c r="G39" i="22"/>
  <c r="G36" i="22"/>
  <c r="H35" i="22"/>
  <c r="G35" i="22"/>
  <c r="H34" i="22"/>
  <c r="G34" i="22"/>
  <c r="H33" i="22"/>
  <c r="G33" i="22"/>
  <c r="H31" i="22"/>
  <c r="G31" i="22"/>
  <c r="H29" i="22"/>
  <c r="G29" i="22"/>
  <c r="H24" i="22"/>
  <c r="G24" i="22"/>
  <c r="H22" i="22"/>
  <c r="G22" i="22"/>
  <c r="H19" i="22"/>
  <c r="G19" i="22"/>
  <c r="H18" i="22"/>
  <c r="G18" i="22"/>
  <c r="H17" i="22"/>
  <c r="G17" i="22"/>
  <c r="H15" i="22"/>
  <c r="G15" i="22"/>
  <c r="F76" i="14"/>
  <c r="F72" i="14"/>
  <c r="G8" i="22" l="1"/>
  <c r="H13" i="22"/>
  <c r="G13" i="22"/>
  <c r="H9" i="22"/>
  <c r="G9" i="22"/>
  <c r="H8" i="22" l="1"/>
  <c r="H14" i="22"/>
  <c r="H16" i="22"/>
  <c r="G16" i="22"/>
  <c r="H20" i="22"/>
  <c r="G20" i="22"/>
  <c r="G14" i="22"/>
  <c r="M29" i="26"/>
  <c r="L29" i="26"/>
  <c r="M28" i="26"/>
  <c r="L28" i="26"/>
  <c r="M27" i="26"/>
  <c r="L27" i="26"/>
  <c r="M21" i="26"/>
  <c r="L21" i="26"/>
  <c r="M20" i="26"/>
  <c r="L20" i="26"/>
  <c r="F73" i="26"/>
  <c r="F71" i="26" s="1"/>
  <c r="M12" i="26" l="1"/>
  <c r="M36" i="26" s="1"/>
  <c r="M34" i="26"/>
  <c r="M13" i="26"/>
  <c r="M37" i="26" s="1"/>
  <c r="L13" i="26"/>
  <c r="L37" i="26" s="1"/>
  <c r="L12" i="26"/>
  <c r="L36" i="26" s="1"/>
  <c r="L11" i="26"/>
  <c r="L34" i="26" s="1"/>
  <c r="H204" i="26"/>
  <c r="G204" i="26"/>
  <c r="H202" i="26"/>
  <c r="G202" i="26"/>
  <c r="H191" i="26"/>
  <c r="G191" i="26"/>
  <c r="H190" i="26"/>
  <c r="G190" i="26"/>
  <c r="H189" i="26"/>
  <c r="G189" i="26"/>
  <c r="H188" i="26"/>
  <c r="G188" i="26"/>
  <c r="H185" i="26"/>
  <c r="G185" i="26"/>
  <c r="H184" i="26"/>
  <c r="G184" i="26"/>
  <c r="H181" i="26"/>
  <c r="G181" i="26"/>
  <c r="H180" i="26"/>
  <c r="G180" i="26"/>
  <c r="H175" i="26"/>
  <c r="G175" i="26"/>
  <c r="H170" i="26"/>
  <c r="H166" i="26"/>
  <c r="G166" i="26"/>
  <c r="H165" i="26"/>
  <c r="G165" i="26"/>
  <c r="H164" i="26"/>
  <c r="G164" i="26"/>
  <c r="H145" i="26"/>
  <c r="G145" i="26"/>
  <c r="H144" i="26"/>
  <c r="G144" i="26"/>
  <c r="H143" i="26"/>
  <c r="G143" i="26"/>
  <c r="H142" i="26"/>
  <c r="G142" i="26"/>
  <c r="H141" i="26"/>
  <c r="G141" i="26"/>
  <c r="H140" i="26"/>
  <c r="G140" i="26"/>
  <c r="H139" i="26"/>
  <c r="G139" i="26"/>
  <c r="H138" i="26"/>
  <c r="G138" i="26"/>
  <c r="H132" i="26"/>
  <c r="G132" i="26"/>
  <c r="H75" i="26"/>
  <c r="G75" i="26"/>
  <c r="H74" i="26"/>
  <c r="G74" i="26"/>
  <c r="H70" i="26"/>
  <c r="G70" i="26"/>
  <c r="D78" i="26"/>
  <c r="D162" i="26"/>
  <c r="D160" i="26" s="1"/>
  <c r="H116" i="26"/>
  <c r="G116" i="26"/>
  <c r="H115" i="26"/>
  <c r="G115" i="26"/>
  <c r="D89" i="26"/>
  <c r="F114" i="26"/>
  <c r="F113" i="26" s="1"/>
  <c r="F111" i="26" s="1"/>
  <c r="E114" i="26"/>
  <c r="E113" i="26" s="1"/>
  <c r="E111" i="26" s="1"/>
  <c r="D114" i="26"/>
  <c r="D113" i="26" s="1"/>
  <c r="D111" i="26" s="1"/>
  <c r="G112" i="26"/>
  <c r="H114" i="26" l="1"/>
  <c r="G114" i="26"/>
  <c r="H113" i="26" l="1"/>
  <c r="G113" i="26"/>
  <c r="I16" i="9"/>
  <c r="I6" i="9"/>
  <c r="I21" i="9" s="1"/>
  <c r="D6" i="24"/>
  <c r="D5" i="24" l="1"/>
  <c r="H111" i="26"/>
  <c r="G111" i="26"/>
  <c r="F81" i="14"/>
  <c r="F42" i="14"/>
  <c r="F36" i="14"/>
  <c r="F39" i="14" s="1"/>
  <c r="F103" i="22"/>
  <c r="H52" i="22" l="1"/>
  <c r="G52" i="22"/>
  <c r="H61" i="22"/>
  <c r="G61" i="22"/>
  <c r="H71" i="22"/>
  <c r="G71" i="22"/>
  <c r="H43" i="22"/>
  <c r="G43" i="22"/>
  <c r="G30" i="22"/>
  <c r="H30" i="22"/>
  <c r="H53" i="22"/>
  <c r="G53" i="22"/>
  <c r="H64" i="22"/>
  <c r="G64" i="22"/>
  <c r="H86" i="22"/>
  <c r="G86" i="22"/>
  <c r="G44" i="22"/>
  <c r="H44" i="22"/>
  <c r="H54" i="22"/>
  <c r="G54" i="22"/>
  <c r="H67" i="22"/>
  <c r="G67" i="22"/>
  <c r="H87" i="22"/>
  <c r="G87" i="22"/>
  <c r="H45" i="22"/>
  <c r="G45" i="22"/>
  <c r="H55" i="22"/>
  <c r="G55" i="22"/>
  <c r="H68" i="22"/>
  <c r="G68" i="22"/>
  <c r="H89" i="22"/>
  <c r="G89" i="22"/>
  <c r="H46" i="22"/>
  <c r="G46" i="22"/>
  <c r="H48" i="22"/>
  <c r="G48" i="22"/>
  <c r="H56" i="22"/>
  <c r="G56" i="22"/>
  <c r="H69" i="22"/>
  <c r="G69" i="22"/>
  <c r="H90" i="22"/>
  <c r="G90" i="22"/>
  <c r="G37" i="22"/>
  <c r="H37" i="22"/>
  <c r="H49" i="22"/>
  <c r="G49" i="22"/>
  <c r="H58" i="22"/>
  <c r="G58" i="22"/>
  <c r="G50" i="22"/>
  <c r="H50" i="22"/>
  <c r="H32" i="22"/>
  <c r="G32" i="22"/>
  <c r="H41" i="22"/>
  <c r="G41" i="22"/>
  <c r="F40" i="14"/>
  <c r="E12" i="22" l="1"/>
  <c r="E106" i="26"/>
  <c r="E179" i="26"/>
  <c r="E125" i="26"/>
  <c r="E73" i="26"/>
  <c r="L14" i="26" l="1"/>
  <c r="G179" i="26"/>
  <c r="H179" i="26"/>
  <c r="E71" i="26"/>
  <c r="H73" i="26"/>
  <c r="G73" i="26"/>
  <c r="H71" i="26" l="1"/>
  <c r="G71" i="26"/>
  <c r="K21" i="9"/>
  <c r="L17" i="9"/>
  <c r="K17" i="9"/>
  <c r="K16" i="9"/>
  <c r="L14" i="9"/>
  <c r="K14" i="9"/>
  <c r="L13" i="9"/>
  <c r="K13" i="9"/>
  <c r="L12" i="9"/>
  <c r="K12" i="9"/>
  <c r="L11" i="9"/>
  <c r="K11" i="9"/>
  <c r="K6" i="9"/>
  <c r="L6" i="9"/>
  <c r="F28" i="24"/>
  <c r="M17" i="9" l="1"/>
  <c r="M11" i="9"/>
  <c r="M12" i="9"/>
  <c r="M13" i="9"/>
  <c r="M16" i="9"/>
  <c r="M14" i="9"/>
  <c r="N12" i="9"/>
  <c r="N17" i="9"/>
  <c r="N11" i="9"/>
  <c r="N13" i="9"/>
  <c r="N16" i="9"/>
  <c r="F27" i="24"/>
  <c r="G27" i="24"/>
  <c r="N6" i="9"/>
  <c r="N14" i="9"/>
  <c r="M6" i="9"/>
  <c r="F10" i="24"/>
  <c r="F68" i="26"/>
  <c r="G183" i="26" l="1"/>
  <c r="H183" i="26"/>
  <c r="E169" i="26"/>
  <c r="G169" i="26" s="1"/>
  <c r="D169" i="26"/>
  <c r="D168" i="26" s="1"/>
  <c r="F162" i="26"/>
  <c r="E163" i="26"/>
  <c r="F89" i="26"/>
  <c r="F88" i="26" s="1"/>
  <c r="F86" i="26" s="1"/>
  <c r="F160" i="26" l="1"/>
  <c r="E168" i="26"/>
  <c r="G168" i="26" s="1"/>
  <c r="H169" i="26"/>
  <c r="H137" i="26"/>
  <c r="G137" i="26"/>
  <c r="E162" i="26"/>
  <c r="E160" i="26" s="1"/>
  <c r="H163" i="26"/>
  <c r="G163" i="26"/>
  <c r="F106" i="26"/>
  <c r="F105" i="26" s="1"/>
  <c r="H162" i="26" l="1"/>
  <c r="H168" i="26"/>
  <c r="G162" i="26"/>
  <c r="H160" i="26"/>
  <c r="G160" i="26"/>
  <c r="E68" i="26"/>
  <c r="F8" i="26" l="1"/>
  <c r="F174" i="26"/>
  <c r="F173" i="26" l="1"/>
  <c r="H174" i="26"/>
  <c r="G174" i="26"/>
  <c r="C5" i="24"/>
  <c r="D179" i="26"/>
  <c r="D174" i="26"/>
  <c r="D131" i="26"/>
  <c r="D130" i="26"/>
  <c r="D128" i="26" s="1"/>
  <c r="D126" i="26"/>
  <c r="D125" i="26" s="1"/>
  <c r="D120" i="26"/>
  <c r="D119" i="26" s="1"/>
  <c r="D106" i="26"/>
  <c r="D105" i="26" s="1"/>
  <c r="D88" i="26"/>
  <c r="D86" i="26" s="1"/>
  <c r="D76" i="26"/>
  <c r="D68" i="26"/>
  <c r="D21" i="22"/>
  <c r="D57" i="14"/>
  <c r="C48" i="14"/>
  <c r="H127" i="26"/>
  <c r="H91" i="26"/>
  <c r="G91" i="26"/>
  <c r="H90" i="26"/>
  <c r="G90" i="26"/>
  <c r="H52" i="26"/>
  <c r="H41" i="26"/>
  <c r="H22" i="26"/>
  <c r="H18" i="26"/>
  <c r="F21" i="9"/>
  <c r="L21" i="9" s="1"/>
  <c r="M21" i="9" s="1"/>
  <c r="D173" i="26" l="1"/>
  <c r="D171" i="26" s="1"/>
  <c r="D155" i="26"/>
  <c r="D95" i="26"/>
  <c r="D201" i="26"/>
  <c r="D199" i="26" s="1"/>
  <c r="F171" i="26"/>
  <c r="H173" i="26"/>
  <c r="G173" i="26"/>
  <c r="D81" i="22"/>
  <c r="D50" i="26"/>
  <c r="D178" i="26"/>
  <c r="D176" i="26" s="1"/>
  <c r="D117" i="26"/>
  <c r="D5" i="22"/>
  <c r="D28" i="22"/>
  <c r="D8" i="26"/>
  <c r="D94" i="26" l="1"/>
  <c r="D92" i="26" s="1"/>
  <c r="D6" i="26"/>
  <c r="D5" i="26" s="1"/>
  <c r="H171" i="26"/>
  <c r="G171" i="26"/>
  <c r="F25" i="24"/>
  <c r="G25" i="24"/>
  <c r="G22" i="26" l="1"/>
  <c r="E23" i="22"/>
  <c r="E5" i="22" s="1"/>
  <c r="H63" i="26"/>
  <c r="F130" i="26"/>
  <c r="F128" i="26" l="1"/>
  <c r="H23" i="22"/>
  <c r="G23" i="22"/>
  <c r="M23" i="26"/>
  <c r="M38" i="26" s="1"/>
  <c r="E49" i="14" l="1"/>
  <c r="E48" i="14"/>
  <c r="E47" i="14"/>
  <c r="E46" i="14"/>
  <c r="E45" i="14"/>
  <c r="F49" i="14"/>
  <c r="F48" i="14"/>
  <c r="F47" i="14"/>
  <c r="F45" i="14"/>
  <c r="D49" i="14"/>
  <c r="D48" i="14"/>
  <c r="D47" i="14"/>
  <c r="D46" i="14"/>
  <c r="D45" i="14"/>
  <c r="C49" i="14"/>
  <c r="C47" i="14"/>
  <c r="C46" i="14"/>
  <c r="F85" i="22" l="1"/>
  <c r="F81" i="22"/>
  <c r="F51" i="26" l="1"/>
  <c r="F50" i="26" s="1"/>
  <c r="F65" i="26" l="1"/>
  <c r="F78" i="26"/>
  <c r="G121" i="26" l="1"/>
  <c r="G13" i="26" l="1"/>
  <c r="E203" i="26" l="1"/>
  <c r="F203" i="26"/>
  <c r="H203" i="26" l="1"/>
  <c r="G203" i="26"/>
  <c r="E81" i="22"/>
  <c r="H47" i="22" l="1"/>
  <c r="G47" i="22"/>
  <c r="H81" i="22"/>
  <c r="G81" i="22"/>
  <c r="D89" i="14"/>
  <c r="D85" i="14"/>
  <c r="D81" i="14"/>
  <c r="F92" i="26" l="1"/>
  <c r="D25" i="14" l="1"/>
  <c r="D42" i="14"/>
  <c r="D16" i="14"/>
  <c r="D15" i="14"/>
  <c r="D31" i="14" l="1"/>
  <c r="D36" i="14" s="1"/>
  <c r="D39" i="14" s="1"/>
  <c r="D43" i="14"/>
  <c r="D40" i="14" s="1"/>
  <c r="H13" i="14" l="1"/>
  <c r="F201" i="26"/>
  <c r="E201" i="26"/>
  <c r="E199" i="26" s="1"/>
  <c r="F199" i="26" l="1"/>
  <c r="G201" i="26"/>
  <c r="H201" i="26"/>
  <c r="H14" i="14"/>
  <c r="H53" i="14"/>
  <c r="H32" i="14"/>
  <c r="H27" i="14"/>
  <c r="H28" i="14"/>
  <c r="G8" i="24"/>
  <c r="G9" i="24"/>
  <c r="G7" i="24"/>
  <c r="H122" i="26"/>
  <c r="H123" i="26"/>
  <c r="H124" i="26"/>
  <c r="H121" i="26"/>
  <c r="H98" i="26"/>
  <c r="H99" i="26"/>
  <c r="H100" i="26"/>
  <c r="H101" i="26"/>
  <c r="H102" i="26"/>
  <c r="H96" i="26"/>
  <c r="H83" i="26"/>
  <c r="H62" i="26"/>
  <c r="H25" i="26"/>
  <c r="H26" i="26"/>
  <c r="H27" i="26"/>
  <c r="H28" i="26"/>
  <c r="H29" i="26"/>
  <c r="H30" i="26"/>
  <c r="H32" i="26"/>
  <c r="H33" i="26"/>
  <c r="H34" i="26"/>
  <c r="H36" i="26"/>
  <c r="H37" i="26"/>
  <c r="H38" i="26"/>
  <c r="H40" i="26"/>
  <c r="H42" i="26"/>
  <c r="H44" i="26"/>
  <c r="H45" i="26"/>
  <c r="H24" i="26"/>
  <c r="G10" i="26"/>
  <c r="H10" i="26" s="1"/>
  <c r="G11" i="26"/>
  <c r="H11" i="26" s="1"/>
  <c r="G12" i="26"/>
  <c r="H12" i="26" s="1"/>
  <c r="G14" i="26"/>
  <c r="H14" i="26" s="1"/>
  <c r="G15" i="26"/>
  <c r="H15" i="26" s="1"/>
  <c r="H199" i="26" l="1"/>
  <c r="G199" i="26"/>
  <c r="E89" i="26"/>
  <c r="F125" i="26"/>
  <c r="F8" i="24"/>
  <c r="F9" i="24"/>
  <c r="F7" i="24"/>
  <c r="H89" i="26" l="1"/>
  <c r="G89" i="26"/>
  <c r="E88" i="26"/>
  <c r="E86" i="26" s="1"/>
  <c r="N21" i="9" l="1"/>
  <c r="F28" i="22"/>
  <c r="F119" i="26" l="1"/>
  <c r="F117" i="26" s="1"/>
  <c r="G37" i="26"/>
  <c r="M17" i="26" l="1"/>
  <c r="F6" i="26"/>
  <c r="F176" i="26"/>
  <c r="E120" i="26" l="1"/>
  <c r="E95" i="26"/>
  <c r="E94" i="26" s="1"/>
  <c r="E78" i="26"/>
  <c r="L23" i="26"/>
  <c r="L38" i="26" s="1"/>
  <c r="H85" i="22" l="1"/>
  <c r="G85" i="22"/>
  <c r="E76" i="26"/>
  <c r="E119" i="26"/>
  <c r="E117" i="26" s="1"/>
  <c r="H120" i="26"/>
  <c r="H119" i="26" l="1"/>
  <c r="F136" i="26" l="1"/>
  <c r="F135" i="26" s="1"/>
  <c r="E178" i="26"/>
  <c r="E136" i="26"/>
  <c r="E131" i="26"/>
  <c r="L18" i="26" s="1"/>
  <c r="H20" i="26"/>
  <c r="H21" i="26"/>
  <c r="F133" i="26" l="1"/>
  <c r="M9" i="26"/>
  <c r="E135" i="26"/>
  <c r="L9" i="26" s="1"/>
  <c r="L10" i="26"/>
  <c r="L33" i="26" s="1"/>
  <c r="L40" i="26" s="1"/>
  <c r="E176" i="26"/>
  <c r="H178" i="26"/>
  <c r="G178" i="26"/>
  <c r="H136" i="26"/>
  <c r="G136" i="26"/>
  <c r="M10" i="26"/>
  <c r="E130" i="26"/>
  <c r="G20" i="26"/>
  <c r="G21" i="26"/>
  <c r="H176" i="26" l="1"/>
  <c r="G176" i="26"/>
  <c r="H135" i="26"/>
  <c r="G135" i="26"/>
  <c r="M7" i="26"/>
  <c r="G130" i="26"/>
  <c r="H130" i="26"/>
  <c r="E133" i="26"/>
  <c r="E128" i="26"/>
  <c r="F76" i="26"/>
  <c r="H79" i="26"/>
  <c r="H7" i="22"/>
  <c r="G7" i="22"/>
  <c r="H82" i="14"/>
  <c r="H83" i="14"/>
  <c r="H84" i="14"/>
  <c r="H86" i="14"/>
  <c r="H87" i="14"/>
  <c r="H88" i="14"/>
  <c r="H90" i="14"/>
  <c r="H91" i="14"/>
  <c r="H92" i="14"/>
  <c r="G82" i="14"/>
  <c r="G83" i="14"/>
  <c r="G84" i="14"/>
  <c r="G86" i="14"/>
  <c r="G87" i="14"/>
  <c r="G88" i="14"/>
  <c r="G90" i="14"/>
  <c r="G91" i="14"/>
  <c r="G92" i="14"/>
  <c r="G71" i="14"/>
  <c r="G72" i="14"/>
  <c r="G73" i="14"/>
  <c r="G74" i="14"/>
  <c r="G75" i="14"/>
  <c r="G77" i="14"/>
  <c r="G53" i="14"/>
  <c r="G54" i="14"/>
  <c r="G55" i="14"/>
  <c r="G56" i="14"/>
  <c r="G58" i="14"/>
  <c r="G59" i="14"/>
  <c r="G60" i="14"/>
  <c r="G61" i="14"/>
  <c r="G62" i="14"/>
  <c r="G63" i="14"/>
  <c r="G65" i="14"/>
  <c r="G66" i="14"/>
  <c r="G67" i="14"/>
  <c r="G32" i="14"/>
  <c r="G33" i="14"/>
  <c r="G34" i="14"/>
  <c r="G35" i="14"/>
  <c r="G37" i="14"/>
  <c r="G38" i="14"/>
  <c r="G41" i="14"/>
  <c r="G26" i="14"/>
  <c r="G27" i="14"/>
  <c r="G28" i="14"/>
  <c r="G29" i="14"/>
  <c r="G13" i="14"/>
  <c r="G14" i="14"/>
  <c r="G133" i="26" l="1"/>
  <c r="H133" i="26"/>
  <c r="G128" i="26"/>
  <c r="H128" i="26"/>
  <c r="F131" i="26"/>
  <c r="E105" i="26"/>
  <c r="E28" i="22"/>
  <c r="F21" i="22"/>
  <c r="H131" i="26" l="1"/>
  <c r="G131" i="26"/>
  <c r="M18" i="26"/>
  <c r="M33" i="26" s="1"/>
  <c r="M40" i="26" s="1"/>
  <c r="G21" i="22"/>
  <c r="H21" i="22"/>
  <c r="H28" i="22"/>
  <c r="G28" i="22"/>
  <c r="H103" i="22"/>
  <c r="G103" i="22"/>
  <c r="H88" i="26"/>
  <c r="G88" i="26"/>
  <c r="H23" i="26"/>
  <c r="G9" i="26"/>
  <c r="H9" i="26"/>
  <c r="E92" i="26"/>
  <c r="E50" i="26"/>
  <c r="F5" i="26" l="1"/>
  <c r="L17" i="26"/>
  <c r="L7" i="26" s="1"/>
  <c r="E6" i="26"/>
  <c r="E5" i="26" s="1"/>
  <c r="G86" i="26"/>
  <c r="H34" i="14"/>
  <c r="E81" i="14" l="1"/>
  <c r="F50" i="14"/>
  <c r="F5" i="24"/>
  <c r="H65" i="26"/>
  <c r="G65" i="26"/>
  <c r="G63" i="26"/>
  <c r="G62" i="26"/>
  <c r="H60" i="26"/>
  <c r="G60" i="26"/>
  <c r="H59" i="26"/>
  <c r="G59" i="26"/>
  <c r="G58" i="26"/>
  <c r="H57" i="26"/>
  <c r="G57" i="26"/>
  <c r="G127" i="26"/>
  <c r="H126" i="26"/>
  <c r="G126" i="26"/>
  <c r="H125" i="26"/>
  <c r="G125" i="26"/>
  <c r="G124" i="26"/>
  <c r="G123" i="26"/>
  <c r="G122" i="26"/>
  <c r="G120" i="26"/>
  <c r="G119" i="26"/>
  <c r="G118" i="26"/>
  <c r="H117" i="26"/>
  <c r="G117" i="26"/>
  <c r="H110" i="26"/>
  <c r="G110" i="26"/>
  <c r="H109" i="26"/>
  <c r="G109" i="26"/>
  <c r="H108" i="26"/>
  <c r="G108" i="26"/>
  <c r="H107" i="26"/>
  <c r="G107" i="26"/>
  <c r="H106" i="26"/>
  <c r="G106" i="26"/>
  <c r="H105" i="26"/>
  <c r="G105" i="26"/>
  <c r="G101" i="26"/>
  <c r="G100" i="26"/>
  <c r="G99" i="26"/>
  <c r="G98" i="26"/>
  <c r="G96" i="26"/>
  <c r="H95" i="26"/>
  <c r="G95" i="26"/>
  <c r="H94" i="26"/>
  <c r="G94" i="26"/>
  <c r="G93" i="26"/>
  <c r="G92" i="26"/>
  <c r="H85" i="26"/>
  <c r="G85" i="26"/>
  <c r="H84" i="26"/>
  <c r="G84" i="26"/>
  <c r="G83" i="26"/>
  <c r="H76" i="26"/>
  <c r="G76" i="26"/>
  <c r="G79" i="26"/>
  <c r="H56" i="26"/>
  <c r="G56" i="26"/>
  <c r="H55" i="26"/>
  <c r="G55" i="26"/>
  <c r="G53" i="26"/>
  <c r="H53" i="26" s="1"/>
  <c r="G52" i="26"/>
  <c r="H51" i="26"/>
  <c r="G51" i="26"/>
  <c r="H50" i="26"/>
  <c r="G50" i="26"/>
  <c r="G45" i="26"/>
  <c r="G44" i="26"/>
  <c r="G42" i="26"/>
  <c r="G41" i="26"/>
  <c r="G40" i="26"/>
  <c r="G38" i="26"/>
  <c r="G36" i="26"/>
  <c r="G34" i="26"/>
  <c r="G33" i="26"/>
  <c r="G32" i="26"/>
  <c r="G30" i="26"/>
  <c r="G29" i="26"/>
  <c r="G28" i="26"/>
  <c r="G27" i="26"/>
  <c r="G26" i="26"/>
  <c r="G25" i="26"/>
  <c r="G24" i="26"/>
  <c r="G23" i="26"/>
  <c r="G18" i="26"/>
  <c r="H17" i="26"/>
  <c r="G17" i="26"/>
  <c r="G5" i="26" l="1"/>
  <c r="H5" i="26"/>
  <c r="G94" i="14"/>
  <c r="H94" i="14"/>
  <c r="H96" i="14"/>
  <c r="G96" i="14"/>
  <c r="H81" i="14"/>
  <c r="G81" i="14"/>
  <c r="H95" i="14"/>
  <c r="G6" i="24"/>
  <c r="F6" i="24"/>
  <c r="G102" i="26"/>
  <c r="H92" i="26"/>
  <c r="G78" i="26"/>
  <c r="H78" i="26"/>
  <c r="G40" i="14" l="1"/>
  <c r="G39" i="14"/>
  <c r="G36" i="14"/>
  <c r="D70" i="14" l="1"/>
  <c r="D64" i="14"/>
  <c r="D52" i="14"/>
  <c r="D50" i="14"/>
  <c r="D68" i="14" l="1"/>
  <c r="H25" i="14"/>
  <c r="H16" i="14"/>
  <c r="G8" i="14"/>
  <c r="H8" i="14"/>
  <c r="G10" i="14"/>
  <c r="H10" i="14"/>
  <c r="G11" i="14"/>
  <c r="H11" i="14"/>
  <c r="G12" i="14"/>
  <c r="H12" i="14"/>
  <c r="G17" i="14"/>
  <c r="H17" i="14"/>
  <c r="G18" i="14"/>
  <c r="H18" i="14"/>
  <c r="G19" i="14"/>
  <c r="H19" i="14"/>
  <c r="G20" i="14"/>
  <c r="G21" i="14"/>
  <c r="H21" i="14"/>
  <c r="G23" i="14"/>
  <c r="G24" i="14"/>
  <c r="H24" i="14"/>
  <c r="G30" i="14"/>
  <c r="H30" i="14"/>
  <c r="H69" i="26"/>
  <c r="G69" i="26"/>
  <c r="H68" i="26"/>
  <c r="G68" i="26"/>
  <c r="H67" i="26"/>
  <c r="G67" i="26"/>
  <c r="G25" i="14" l="1"/>
  <c r="G16" i="14"/>
  <c r="H9" i="14"/>
  <c r="H15" i="14"/>
  <c r="G9" i="14"/>
  <c r="H42" i="14"/>
  <c r="G42" i="14"/>
  <c r="G22" i="14"/>
  <c r="H22" i="14"/>
  <c r="H31" i="14" l="1"/>
  <c r="G15" i="14"/>
  <c r="H43" i="14"/>
  <c r="G43" i="14"/>
  <c r="G31" i="14" l="1"/>
  <c r="H66" i="26" l="1"/>
  <c r="G66" i="26"/>
  <c r="H8" i="26"/>
  <c r="G8" i="26"/>
  <c r="G6" i="26"/>
  <c r="H12" i="22"/>
  <c r="G12" i="22"/>
  <c r="H6" i="22"/>
  <c r="G6" i="22"/>
  <c r="H5" i="22"/>
  <c r="G5" i="22"/>
  <c r="H6" i="26" l="1"/>
  <c r="E50" i="14" l="1"/>
  <c r="C50" i="14"/>
  <c r="H49" i="14"/>
  <c r="G49" i="14"/>
  <c r="H48" i="14"/>
  <c r="G48" i="14"/>
  <c r="H47" i="14"/>
  <c r="G47" i="14"/>
  <c r="H46" i="14"/>
  <c r="G46" i="14"/>
  <c r="H45" i="14"/>
  <c r="G45" i="14"/>
  <c r="G85" i="14" l="1"/>
  <c r="H85" i="14"/>
  <c r="H50" i="14"/>
  <c r="G50" i="14"/>
  <c r="E89" i="14" l="1"/>
  <c r="H89" i="14" l="1"/>
  <c r="G89" i="14"/>
  <c r="G5" i="24"/>
  <c r="H93" i="14" l="1"/>
  <c r="G93" i="14"/>
  <c r="H72" i="14"/>
  <c r="H59" i="14"/>
  <c r="H66" i="14"/>
  <c r="H67" i="14"/>
  <c r="C70" i="14" l="1"/>
  <c r="E70" i="14"/>
  <c r="F70" i="14"/>
  <c r="G70" i="14" l="1"/>
  <c r="H70" i="14"/>
  <c r="E64" i="14"/>
  <c r="E57" i="14"/>
  <c r="E52" i="14"/>
  <c r="G64" i="14" l="1"/>
  <c r="G57" i="14"/>
  <c r="H64" i="14"/>
  <c r="H57" i="14"/>
  <c r="E68" i="14"/>
  <c r="H55" i="14" l="1"/>
  <c r="H52" i="14" l="1"/>
  <c r="G52" i="14"/>
  <c r="G68" i="14"/>
  <c r="H68" i="14" l="1"/>
</calcChain>
</file>

<file path=xl/sharedStrings.xml><?xml version="1.0" encoding="utf-8"?>
<sst xmlns="http://schemas.openxmlformats.org/spreadsheetml/2006/main" count="628" uniqueCount="375">
  <si>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</si>
  <si>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</si>
  <si>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</si>
  <si>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</si>
  <si>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</si>
  <si>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Інші операційні витрати</t>
  </si>
  <si>
    <t>№ з/п</t>
  </si>
  <si>
    <t>Усього</t>
  </si>
  <si>
    <t>(посада)</t>
  </si>
  <si>
    <t>(підпис)</t>
  </si>
  <si>
    <t>Інші операційні витрати, усього, у тому числі:</t>
  </si>
  <si>
    <t>податок на доходи фізичних осіб</t>
  </si>
  <si>
    <t>Фінансовий результат до оподаткування</t>
  </si>
  <si>
    <t xml:space="preserve">         (ініціали, прізвище)    </t>
  </si>
  <si>
    <t>(ініціали, прізвище)</t>
  </si>
  <si>
    <t>Основні фінансові показники</t>
  </si>
  <si>
    <t>Капітальні інвестиції</t>
  </si>
  <si>
    <t>Найменування об’єкта</t>
  </si>
  <si>
    <t>директор</t>
  </si>
  <si>
    <t>працівники</t>
  </si>
  <si>
    <t>Найменування показника</t>
  </si>
  <si>
    <t>адміністративно-управлінський персонал</t>
  </si>
  <si>
    <t>Валовий прибуток/збиток</t>
  </si>
  <si>
    <t>Інші доходи, усього, у тому числі:</t>
  </si>
  <si>
    <t>Витрати з податку на прибуток</t>
  </si>
  <si>
    <t>Дохід з податку на прибуток</t>
  </si>
  <si>
    <t>8000</t>
  </si>
  <si>
    <t>8001</t>
  </si>
  <si>
    <t>8002</t>
  </si>
  <si>
    <t>8003</t>
  </si>
  <si>
    <t>8010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</si>
  <si>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</si>
  <si>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</si>
  <si>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</si>
  <si>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податок на прибуток підприємств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</si>
  <si>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</si>
  <si>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</si>
  <si>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</si>
  <si>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земельний податок</t>
  </si>
  <si>
    <t>орендна плата</t>
  </si>
  <si>
    <t>Чистий фінансовий результат</t>
  </si>
  <si>
    <t xml:space="preserve">Прибуток </t>
  </si>
  <si>
    <t>Збиток</t>
  </si>
  <si>
    <t>Середньомісячні витрати на оплату праці одного працівника (грн), усього, у тому числі:</t>
  </si>
  <si>
    <t>Інші витрати (розшифрувати)</t>
  </si>
  <si>
    <t>тис. грн (без ПДВ)</t>
  </si>
  <si>
    <t>{Додаток 1 в редакції Наказу Міністерства економічного розвитку і торгівлі № 1394 від 03.11.2015}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</si>
  <si>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</si>
  <si>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</si>
  <si>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нараховано виплат</t>
  </si>
  <si>
    <t>Матеріальні витрати</t>
  </si>
  <si>
    <t>(тис. грн)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</si>
  <si>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</si>
  <si>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</si>
  <si>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 xml:space="preserve"> (посада)</t>
  </si>
  <si>
    <t>військовий збір</t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</si>
  <si>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</si>
  <si>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</si>
  <si>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</si>
  <si>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тис. грн</t>
  </si>
  <si>
    <t>Собівартість реалізованої продукції (товарів, робіт, послуг), усього, у тому числі:</t>
  </si>
  <si>
    <t>Матеріальні витрати (розшифрувати)</t>
  </si>
  <si>
    <t>Інші адміністративні витрати (розшифрувати)</t>
  </si>
  <si>
    <t>Інші операційні витрати (розшифрувати)</t>
  </si>
  <si>
    <t>придбання (виготовлення) інших необоротних матеріальних активів (розшифрувати)</t>
  </si>
  <si>
    <t>Фонд оплату праці</t>
  </si>
  <si>
    <t>8030</t>
  </si>
  <si>
    <t>Чистий дохід від реалізації продукції (товарів, робіт, послуг), усього, у тому числі:</t>
  </si>
  <si>
    <t>ДОХОДИ</t>
  </si>
  <si>
    <t>ВИТРАТИ</t>
  </si>
  <si>
    <t>ВСЬОГО ВИТРАТ:</t>
  </si>
  <si>
    <t>1.</t>
  </si>
  <si>
    <t>у т.ч. використано на:</t>
  </si>
  <si>
    <t>1.1</t>
  </si>
  <si>
    <t>1.2</t>
  </si>
  <si>
    <t>Адміністративні витрати, усього, у тому числі:</t>
  </si>
  <si>
    <t>Собівартість реалізованої продукції (товарів, робіт, послуг), усього, у т.ч.:</t>
  </si>
  <si>
    <t>Адміністративні витрати, усього, у т.ч.:</t>
  </si>
  <si>
    <t>2.</t>
  </si>
  <si>
    <t>Інші витрати, усього, у т.ч.:</t>
  </si>
  <si>
    <t>Розділ І. Формування фінансових результатів</t>
  </si>
  <si>
    <t>Розділ IІ. Розрахунки з бюджетом</t>
  </si>
  <si>
    <t>Розділ IV. Капітальні інвестиції</t>
  </si>
  <si>
    <t>Розділ VI. Дані про персонал та витрати на оплату праці</t>
  </si>
  <si>
    <t>Розшифровка №1 до розділу І "Формування фінансових результатів"</t>
  </si>
  <si>
    <t>Розшифровка до розділу  IV. "Капітальні інвестиції"</t>
  </si>
  <si>
    <t>4.</t>
  </si>
  <si>
    <t>5.</t>
  </si>
  <si>
    <t>6.1</t>
  </si>
  <si>
    <t>Матеріальні витрати, усього, у т.ч.:</t>
  </si>
  <si>
    <t>5.1</t>
  </si>
  <si>
    <t>факт</t>
  </si>
  <si>
    <t>відхилення, +/-</t>
  </si>
  <si>
    <t>виконання, 
%</t>
  </si>
  <si>
    <t>відхилення, %</t>
  </si>
  <si>
    <t>Відхилення, +,-</t>
  </si>
  <si>
    <t>Відхилення, %</t>
  </si>
  <si>
    <t>Усього доходів</t>
  </si>
  <si>
    <t>Усього видатків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</si>
  <si>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ОТГ</t>
  </si>
  <si>
    <t>Розшифровка №2 до розділу І "Формування фінансових результатів за джерелами доходів та використання коштів"</t>
  </si>
  <si>
    <t>Кошти державного бюджету від Національної служби здоров'я України</t>
  </si>
  <si>
    <t>Факт наростаючим підсумком з початку року</t>
  </si>
  <si>
    <t>Елементи операційних витрат:</t>
  </si>
  <si>
    <t>Залучення кредитних коштів</t>
  </si>
  <si>
    <t>Усього:</t>
  </si>
  <si>
    <t>кошти державного бюджету від Національної служби здоров'я України</t>
  </si>
  <si>
    <t>6.</t>
  </si>
  <si>
    <t>7.</t>
  </si>
  <si>
    <t xml:space="preserve">нарахування амортизації на безоплатно отримані активи </t>
  </si>
  <si>
    <t>медикаменти та перев'язувальні матеріали</t>
  </si>
  <si>
    <t xml:space="preserve">бланки медичні та бухгалтерські </t>
  </si>
  <si>
    <t>канцелярські товари</t>
  </si>
  <si>
    <t>передплата періодичних видань</t>
  </si>
  <si>
    <t>страхування водіїв, автотранспорту, на випадок СНіДу, членів добровільних пожежних дружин, на випадок гепатиту</t>
  </si>
  <si>
    <t>витрати на зв'язок</t>
  </si>
  <si>
    <t>послуги архіву</t>
  </si>
  <si>
    <t>послуги охорони</t>
  </si>
  <si>
    <t>метрологічна повірка медичного обладнання</t>
  </si>
  <si>
    <t>обслуговування ліфту</t>
  </si>
  <si>
    <t>дератизація, дезинфекція</t>
  </si>
  <si>
    <t>сигналізація</t>
  </si>
  <si>
    <t>обстеження медичних працівників</t>
  </si>
  <si>
    <t>заходи по радіаційній безпеці</t>
  </si>
  <si>
    <t>оплата теплопостачання</t>
  </si>
  <si>
    <t xml:space="preserve">оплата водопостачання та водовідведення </t>
  </si>
  <si>
    <t>оплата електроенергії</t>
  </si>
  <si>
    <t>оплата інших енергоносіїв</t>
  </si>
  <si>
    <t>навчання у сфері цивільного захисту та охорони праці</t>
  </si>
  <si>
    <t>обстеження ургентних хворих (КТ)</t>
  </si>
  <si>
    <t>відшкодування пільгових пенсій</t>
  </si>
  <si>
    <t xml:space="preserve">продукти харчування </t>
  </si>
  <si>
    <t>Директор КНП "ВМКЛ ШМД"</t>
  </si>
  <si>
    <t xml:space="preserve">оплата природнього газу  </t>
  </si>
  <si>
    <t>лікарняні листи перші 5 днів</t>
  </si>
  <si>
    <t>Кошти отримані від реалізації майна</t>
  </si>
  <si>
    <t>9.</t>
  </si>
  <si>
    <t>10.</t>
  </si>
  <si>
    <t>Розшифровка до розділу  IV. "Капітальні інвестиції за джерелами надходження"</t>
  </si>
  <si>
    <t>папір</t>
  </si>
  <si>
    <t>миючі засоби</t>
  </si>
  <si>
    <t>будівельні матеріали</t>
  </si>
  <si>
    <t>господарські товари, енергозберігаючі лампочки</t>
  </si>
  <si>
    <t>м'який інвентар</t>
  </si>
  <si>
    <t>ТО диз.генератора, газового обладн., аварійного освітлення, перев.і випробування пожеж.гідрантів, ел.вимірювання</t>
  </si>
  <si>
    <t>оренда рентгенустановки</t>
  </si>
  <si>
    <t>Інші адміністративні витрати, в т.ч.:</t>
  </si>
  <si>
    <t>перезарядка картриджів</t>
  </si>
  <si>
    <t>ТО ПК, оргтехніки</t>
  </si>
  <si>
    <t>банківське обслуговування, обслуговування особового рахунку</t>
  </si>
  <si>
    <t>Інші адміністративні витрати, усього, у т.ч.:</t>
  </si>
  <si>
    <t>Собівартість реалізованої продукції (товарів, робіт, послуг):</t>
  </si>
  <si>
    <t>придбання (виготовлення) основних засобів, усього, у т.ч.:</t>
  </si>
  <si>
    <t>план</t>
  </si>
  <si>
    <t>кошти отримані від реалізації майна</t>
  </si>
  <si>
    <t>Інші фінансові доходи, усього, у тому числі:</t>
  </si>
  <si>
    <t>2.1</t>
  </si>
  <si>
    <t>інформаційно-консультативні послуги</t>
  </si>
  <si>
    <t>гістологічне дослідження (патанатомія)</t>
  </si>
  <si>
    <t>1.1.1</t>
  </si>
  <si>
    <t>1.1.2</t>
  </si>
  <si>
    <t>1.1.3</t>
  </si>
  <si>
    <t>1.2.1</t>
  </si>
  <si>
    <t>1.2.2</t>
  </si>
  <si>
    <t>1.2.3</t>
  </si>
  <si>
    <t>1.3</t>
  </si>
  <si>
    <t>2.1.2</t>
  </si>
  <si>
    <t>4.1</t>
  </si>
  <si>
    <t>4.1.1</t>
  </si>
  <si>
    <t>Кошти орендарів (відшкодування за енергоносії)</t>
  </si>
  <si>
    <t>9.1</t>
  </si>
  <si>
    <t>супровід програмного забезпечення</t>
  </si>
  <si>
    <t>навчання у сфері цивільного захисту, охорони праці</t>
  </si>
  <si>
    <t>обстеження мед.працівників</t>
  </si>
  <si>
    <t>Залишок матеріалів, придбаних у минулих періодах за рахунок коштів медичної субвенції з державного бюджету</t>
  </si>
  <si>
    <t>5.1.1</t>
  </si>
  <si>
    <t>6.1.1</t>
  </si>
  <si>
    <t>7.1</t>
  </si>
  <si>
    <t>7.1.1</t>
  </si>
  <si>
    <t>7.2</t>
  </si>
  <si>
    <t>8.1</t>
  </si>
  <si>
    <t>8.1.1</t>
  </si>
  <si>
    <t>предмети, матеріали, обладнання та інвентар</t>
  </si>
  <si>
    <t>відхилення, (+/-)</t>
  </si>
  <si>
    <t>відхилення, 
(%)</t>
  </si>
  <si>
    <r>
      <t xml:space="preserve">Кошти від власних надходжень </t>
    </r>
    <r>
      <rPr>
        <i/>
        <sz val="14"/>
        <rFont val="Times New Roman"/>
        <family val="1"/>
        <charset val="204"/>
      </rPr>
      <t>(стажування лікарів-інтернів та медичне обслуговування іноземних громадян)</t>
    </r>
  </si>
  <si>
    <r>
      <t xml:space="preserve">витрати, пов'язані з використанням автомобілів </t>
    </r>
    <r>
      <rPr>
        <i/>
        <sz val="14"/>
        <rFont val="Times New Roman"/>
        <family val="1"/>
        <charset val="204"/>
      </rPr>
      <t>(бензин, дизельне паливо)</t>
    </r>
  </si>
  <si>
    <t>витрати, пов'язані з використанням автомобілів (ТО, ремонт)</t>
  </si>
  <si>
    <t>страхування водіїв, автотранспорту, на випадок СНіДу, членів ДПД</t>
  </si>
  <si>
    <t>охоронні послуги</t>
  </si>
  <si>
    <t>метрологічна повірка медичного обладнання, повірка лічильників</t>
  </si>
  <si>
    <r>
      <t xml:space="preserve">витрати, пов'язані з використанням автомобілів </t>
    </r>
    <r>
      <rPr>
        <i/>
        <sz val="14"/>
        <rFont val="Times New Roman"/>
        <family val="1"/>
        <charset val="204"/>
      </rPr>
      <t>(технічне обслуговування та ремонт)</t>
    </r>
  </si>
  <si>
    <t>9.1.1</t>
  </si>
  <si>
    <t>бланки</t>
  </si>
  <si>
    <t>канцтовари</t>
  </si>
  <si>
    <t>Інші адміністративні витрати,усього, в т.ч.:</t>
  </si>
  <si>
    <t>Інші операційні витрати, усього, в т.ч.:</t>
  </si>
  <si>
    <t>Інші витрати, усього, в т.ч.:</t>
  </si>
  <si>
    <r>
      <t xml:space="preserve">кошти від власних надходжень </t>
    </r>
    <r>
      <rPr>
        <i/>
        <sz val="14"/>
        <rFont val="Times New Roman"/>
        <family val="1"/>
        <charset val="204"/>
      </rPr>
      <t>(стажування лікарів-інтернів та медичне обслуговування іноземних громадян)</t>
    </r>
  </si>
  <si>
    <r>
      <t>кошти орендарів</t>
    </r>
    <r>
      <rPr>
        <i/>
        <sz val="14"/>
        <rFont val="Times New Roman"/>
        <family val="1"/>
        <charset val="204"/>
      </rPr>
      <t xml:space="preserve"> (відшкодування за енергоносії)</t>
    </r>
  </si>
  <si>
    <t>1.3.2</t>
  </si>
  <si>
    <t>1.3.3</t>
  </si>
  <si>
    <t xml:space="preserve">Відрахування на соціальні заходи </t>
  </si>
  <si>
    <t>Матеріальні витрати, усього, в т.ч.:</t>
  </si>
  <si>
    <t>Нарахування амортизації на безоплатно отримані активи</t>
  </si>
  <si>
    <t>інші податки, збори та платежі (профспілкові внески)</t>
  </si>
  <si>
    <t>2.1.1</t>
  </si>
  <si>
    <t>Бюджетне фінансування (кошти ВМТГ)</t>
  </si>
  <si>
    <t>Інші джерела (кошти НСЗУ)</t>
  </si>
  <si>
    <t xml:space="preserve">Нараховані до сплати податки та збори до Державного бюджету України (податкові платежі) </t>
  </si>
  <si>
    <t>витрати на відрядження (проїзний - поповнення безконтактної неперсоніфікованої смарт - карти на проїзд)</t>
  </si>
  <si>
    <t>утилізація ламп, мед.відходів</t>
  </si>
  <si>
    <t>господарські товари, запчастини</t>
  </si>
  <si>
    <t>Амортизація основних засобів</t>
  </si>
  <si>
    <t>Капітальні інвестиції, усього, у тому числі:</t>
  </si>
  <si>
    <t>Директор КНП "ВМКЛШМД"</t>
  </si>
  <si>
    <t xml:space="preserve">Амортизація </t>
  </si>
  <si>
    <t>атестація робочих місць</t>
  </si>
  <si>
    <t>1.1.4</t>
  </si>
  <si>
    <r>
      <t xml:space="preserve">Чистий дохід від реалізації продукції (товарів, робіт, послуг) </t>
    </r>
    <r>
      <rPr>
        <sz val="16"/>
        <rFont val="Times New Roman"/>
        <family val="1"/>
        <charset val="204"/>
      </rPr>
      <t>(розшифрувати)</t>
    </r>
  </si>
  <si>
    <r>
      <t>Інші фінансові доходи</t>
    </r>
    <r>
      <rPr>
        <sz val="16"/>
        <rFont val="Times New Roman"/>
        <family val="1"/>
        <charset val="204"/>
      </rPr>
      <t xml:space="preserve"> (розшифрувати)</t>
    </r>
  </si>
  <si>
    <r>
      <rPr>
        <b/>
        <sz val="16"/>
        <rFont val="Times New Roman"/>
        <family val="1"/>
        <charset val="204"/>
      </rPr>
      <t>Фінансові витрати</t>
    </r>
    <r>
      <rPr>
        <sz val="16"/>
        <rFont val="Times New Roman"/>
        <family val="1"/>
        <charset val="204"/>
      </rPr>
      <t xml:space="preserve"> (розшифрувати)</t>
    </r>
  </si>
  <si>
    <r>
      <t>Інші доходи</t>
    </r>
    <r>
      <rPr>
        <sz val="16"/>
        <rFont val="Times New Roman"/>
        <family val="1"/>
        <charset val="204"/>
      </rPr>
      <t xml:space="preserve"> (розшифрувати)</t>
    </r>
  </si>
  <si>
    <r>
      <t xml:space="preserve">Інші витрати </t>
    </r>
    <r>
      <rPr>
        <sz val="16"/>
        <rFont val="Times New Roman"/>
        <family val="1"/>
        <charset val="204"/>
      </rPr>
      <t>(розшифрувати)</t>
    </r>
  </si>
  <si>
    <r>
      <t>придбання (виготовлення) основних засобів (розшифрувати)</t>
    </r>
    <r>
      <rPr>
        <i/>
        <sz val="16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</si>
  <si>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rFont val="Times New Roman"/>
        <family val="1"/>
        <charset val="204"/>
      </rPr>
      <t xml:space="preserve"> </t>
    </r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</si>
  <si>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</si>
  <si>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паливно-мастильні матеріали</t>
  </si>
  <si>
    <t>3.</t>
  </si>
  <si>
    <t>3.1</t>
  </si>
  <si>
    <t>3.1.1</t>
  </si>
  <si>
    <t>7.2.1</t>
  </si>
  <si>
    <t>11.</t>
  </si>
  <si>
    <t>11.1</t>
  </si>
  <si>
    <t>предмети, матеріали, обладнання, інвентар (носилки, кліщі)</t>
  </si>
  <si>
    <t>1.2.4</t>
  </si>
  <si>
    <t>1.3.1</t>
  </si>
  <si>
    <t>10.1</t>
  </si>
  <si>
    <t>10.1.1</t>
  </si>
  <si>
    <t>оплата за отримання ліцензії, держ.реєстрація статуту</t>
  </si>
  <si>
    <t>предмети, матеріали, обладнання, інвентар (принтери, меблі, сервер, акумул.батарея, картриджі, носилки, кліщі)</t>
  </si>
  <si>
    <t>господарські товари, енергозберігаючі лампочки, картриджі, запчастини</t>
  </si>
  <si>
    <t>-</t>
  </si>
  <si>
    <t>за повідомлення про погодж.тарифу на проходження стажування лік.-інтернів ("Вінницька газета")</t>
  </si>
  <si>
    <t>5.2</t>
  </si>
  <si>
    <t>5.2.1</t>
  </si>
  <si>
    <t>Олександр ФОМІН</t>
  </si>
  <si>
    <t>Благодійні внески (натура)</t>
  </si>
  <si>
    <t>Благодійні внески (натура)(залишки минулих періодів)</t>
  </si>
  <si>
    <t xml:space="preserve">            (підпис)</t>
  </si>
  <si>
    <t>ремонт медичного та іншого обладнання</t>
  </si>
  <si>
    <t>інформ.-консультативні послуги; навчання</t>
  </si>
  <si>
    <t>господарські товари, енергозберігаючі лампочки, миючі засоби</t>
  </si>
  <si>
    <t>Благодійні внески (кошти)</t>
  </si>
  <si>
    <t>Централізоване постачання</t>
  </si>
  <si>
    <t>адвокадські послуги, що стосуються статутної діяльності</t>
  </si>
  <si>
    <t>Відшкодування в бюджет (за скоєння злочину)</t>
  </si>
  <si>
    <t>Інші операційні витрати, усього, у т.ч.:</t>
  </si>
  <si>
    <t>монітор мед.рідкокристалічний MDNC-2123</t>
  </si>
  <si>
    <t>система холтерівського моніторування ЕКГ "ECGpro Holter", комплект у складі 4 одиниць</t>
  </si>
  <si>
    <t>серевер ARTLINE для обслуговування МІС "Д-р Елекс"</t>
  </si>
  <si>
    <t>мережеве сховище інформації SYNOLOGY NASDS220+</t>
  </si>
  <si>
    <t>капітальний ремонт</t>
  </si>
  <si>
    <t>капітальний ремонт частини приміщень в рамках проекту EMERGENCY-2020 (під ангіограф), технічний нагляд за об'єктом</t>
  </si>
  <si>
    <t>Придбання (виготовлення) основних засобів, усього, у т.ч.:</t>
  </si>
  <si>
    <t>Капітальний ремонт, усього, у т.ч.:</t>
  </si>
  <si>
    <t>оплата послуг (крім комунальних): ремонт обладнання, поточні рем.та ін.</t>
  </si>
  <si>
    <r>
      <t>Кошти державного бюджету від Національної служби здоров'я України (</t>
    </r>
    <r>
      <rPr>
        <b/>
        <i/>
        <sz val="14"/>
        <rFont val="Times New Roman"/>
        <family val="1"/>
        <charset val="204"/>
      </rPr>
      <t>забезпечення кадрового потенціалу системи охорони здоров'я шляхом організації надання медичної допомоги із залученням лікарів-інтернів)</t>
    </r>
  </si>
  <si>
    <t>(    )</t>
  </si>
  <si>
    <t>Кошти  бюджету Вінницької міської територіальної громади (ВМТГ) (залишки минулих періодів)</t>
  </si>
  <si>
    <t>Кошти бюджету Вінницької міської територіальної громади (ВМТГ)</t>
  </si>
  <si>
    <t>8.</t>
  </si>
  <si>
    <t>3.1.2</t>
  </si>
  <si>
    <t>3.1.3</t>
  </si>
  <si>
    <t>11.1.1</t>
  </si>
  <si>
    <t>12.</t>
  </si>
  <si>
    <t>12.1</t>
  </si>
  <si>
    <t>12.1.1</t>
  </si>
  <si>
    <t>13.</t>
  </si>
  <si>
    <t>13.1</t>
  </si>
  <si>
    <t>13.1.1</t>
  </si>
  <si>
    <t>14.</t>
  </si>
  <si>
    <t>14.1</t>
  </si>
  <si>
    <t>14.1.1</t>
  </si>
  <si>
    <t>благодійні внески (кошти)</t>
  </si>
  <si>
    <t>централізоване постачання</t>
  </si>
  <si>
    <t xml:space="preserve">кошти бюджету Вінницької міської територіальної громади </t>
  </si>
  <si>
    <t>кошти бюджету Вінницької міської територіальної громади (залишки минулих періодів)</t>
  </si>
  <si>
    <r>
      <t>кошти державного бюджету від Національної служби здоров'я України (</t>
    </r>
    <r>
      <rPr>
        <i/>
        <sz val="14"/>
        <rFont val="Times New Roman"/>
        <family val="1"/>
        <charset val="204"/>
      </rPr>
      <t>забезпечення кадрового потенціалу системи охорони здоров'я шляхом організації надання медичної допомоги із залученням лікарів-інтернів</t>
    </r>
    <r>
      <rPr>
        <sz val="14"/>
        <rFont val="Times New Roman"/>
        <family val="1"/>
        <charset val="204"/>
      </rPr>
      <t>)</t>
    </r>
  </si>
  <si>
    <t>кошти з відшкодування по нещасним випадкам на виробництві і за скоєння злочину</t>
  </si>
  <si>
    <t>15.</t>
  </si>
  <si>
    <t>15.1</t>
  </si>
  <si>
    <t>4</t>
  </si>
  <si>
    <t>2</t>
  </si>
  <si>
    <t>оприбуткування активів від ліквідації</t>
  </si>
  <si>
    <t>лабораторні дослідження</t>
  </si>
  <si>
    <t>оцінка енергоефективності будівель, ТО системи киснезабезпечення, проект біологічного захисту операційної, розробка конструкцій для портативних аспіраторів, експертиза проект.-кошторис.докум.по об'єкту "кап.рем.мереж водопостачання"</t>
  </si>
  <si>
    <t>медінфсист. "Д-р Елекс", надання доступу до мережі інтернет, послуги провайдерів</t>
  </si>
  <si>
    <t>господарські товари, енергозберігаючі лампочки, картриджі, миючі засоби</t>
  </si>
  <si>
    <r>
      <t xml:space="preserve">паливно-мастильні матеріали  </t>
    </r>
    <r>
      <rPr>
        <sz val="14"/>
        <color rgb="FFFF0000"/>
        <rFont val="Times New Roman"/>
        <family val="1"/>
        <charset val="204"/>
      </rPr>
      <t xml:space="preserve"> </t>
    </r>
  </si>
  <si>
    <t>Надходження від відсотків за залишками коштів на рахунках</t>
  </si>
  <si>
    <t>5</t>
  </si>
  <si>
    <t>надходження від відсотків за залишками коштів на  рахунках</t>
  </si>
  <si>
    <t>оплата послуг (крім комунальних): цілодобове пожежне спостереження, обслуговув.системи протипож.захисту, енергомоніторинг, наглядов.аудит за сист.упр.якістю</t>
  </si>
  <si>
    <t>1.1.5</t>
  </si>
  <si>
    <t>розробка сист.менеджменту в лабораторії та підготовка лабораторії до акредитації за вимогами стандарту ISO 15189:2022</t>
  </si>
  <si>
    <t>виготовл.і встановлення металопластиков.конструкцій, жалюзі</t>
  </si>
  <si>
    <t>предмети, матеріали, обладнання та інвентар, господарські товари, комп'ютерне обладнання</t>
  </si>
  <si>
    <t xml:space="preserve">оплата послуг (крім комунальних): ремонт обладнання, поточні рем.та ін.; тпослуги банку, інформаційні послуги, проведення експертного дослідження </t>
  </si>
  <si>
    <t xml:space="preserve">предмети, матеріали, обладнання та інвентар, в т.ч.:принтери, меблі, картриджи </t>
  </si>
  <si>
    <t>9.1.2</t>
  </si>
  <si>
    <t>ремонт обладнання, поточні ремонти та ін.послуги</t>
  </si>
  <si>
    <t>1.1.6</t>
  </si>
  <si>
    <t>Лікарняні листи перші 5 днів</t>
  </si>
  <si>
    <t>електрокоагулятор високочастотний зварювальний ЕК 300М</t>
  </si>
  <si>
    <t>радіочастотна плазмова хірург.сист. Генератор Eblator ARS600</t>
  </si>
  <si>
    <t>апарат ШВЛ Hamilton</t>
  </si>
  <si>
    <t xml:space="preserve">а/м Volkswagen </t>
  </si>
  <si>
    <t>холодильник BEKO, морозильна камера</t>
  </si>
  <si>
    <t>термостат сухоповітряний</t>
  </si>
  <si>
    <t>ламінована шафа біологічної безпеки HR 30 - II A2</t>
  </si>
  <si>
    <t>комп'ютерний комплекс</t>
  </si>
  <si>
    <t>капітальний ремонт частини приміщень в рамках проекту КДЛ (бактеріологія), ПКД</t>
  </si>
  <si>
    <t>Власні кошти (благодійна допомога, залишки коштів на рахунках)</t>
  </si>
  <si>
    <t>відшкодування орендарями земельного податку</t>
  </si>
  <si>
    <t>благодійні внески (натуральні показники)</t>
  </si>
  <si>
    <t>Факт І півріччя 2023 року</t>
  </si>
  <si>
    <t>План І півріччя 2024 року</t>
  </si>
  <si>
    <t>Факт І півріччя 2024 року</t>
  </si>
  <si>
    <t xml:space="preserve">ЗВІТ
 про виконання показників фінансового плану Комунального некомерційного підприємства                             "Вінницька міська клінічна лікарня швидкої медичної допомоги"
за І півріччя 2024 року   </t>
  </si>
  <si>
    <t>І півріччя 2023 року</t>
  </si>
  <si>
    <t>І півріччя 2024 року</t>
  </si>
  <si>
    <t>Звітний період І півріччя 2024 року</t>
  </si>
  <si>
    <t>План                      І півріччя 2024 року</t>
  </si>
  <si>
    <t>Факт                             Іпівріччя 2024 року</t>
  </si>
  <si>
    <t>обрізка дерев</t>
  </si>
  <si>
    <t>виготовлення і встановлення металопластикових конструкцій, жалюзі</t>
  </si>
  <si>
    <t>обслуговування системи очищення води</t>
  </si>
  <si>
    <t>доплата митних платежів</t>
  </si>
  <si>
    <t>навчання</t>
  </si>
  <si>
    <t>запасні частини для автомобіля</t>
  </si>
  <si>
    <t>відшкодування в бюджет (за скоєння злочину)</t>
  </si>
  <si>
    <t>інформаційно-консультативні послуги, навчання</t>
  </si>
  <si>
    <t>медогляд, досл.ІФА</t>
  </si>
  <si>
    <t>збір та утилізація мед.відходів</t>
  </si>
  <si>
    <t>9.2</t>
  </si>
  <si>
    <t>9.2.1</t>
  </si>
  <si>
    <t>Інші адміністративні витрати, усього, в т.ч.:</t>
  </si>
  <si>
    <t>14.1.2</t>
  </si>
  <si>
    <t>14.2</t>
  </si>
  <si>
    <t>14.2.1</t>
  </si>
  <si>
    <t>15.1.1</t>
  </si>
  <si>
    <t>16.</t>
  </si>
  <si>
    <t>16.1</t>
  </si>
  <si>
    <t>16.2</t>
  </si>
  <si>
    <t>14.3</t>
  </si>
  <si>
    <t>14.3.1</t>
  </si>
  <si>
    <t>16.1.1</t>
  </si>
  <si>
    <t>16.2.1</t>
  </si>
  <si>
    <t>комплект обладнання для артроскопічних операцій</t>
  </si>
  <si>
    <t>апарат високочастотний електрохірургічний</t>
  </si>
  <si>
    <t>дозиметр клінічний</t>
  </si>
  <si>
    <t>багаторазовий набір для проведення хірургічної артроскопії</t>
  </si>
  <si>
    <t>біполярні коагуляційні щіпці</t>
  </si>
  <si>
    <t>виготовлення та експертиза ПКД на реконструкцію електропостачання під дизельн.генератор</t>
  </si>
  <si>
    <t>капітальний ремонт приміщення під ангіограф</t>
  </si>
  <si>
    <t>виготовлення ПКД по кап.ремонту водопостачання</t>
  </si>
  <si>
    <t>вилучення дорогоцінних металів</t>
  </si>
  <si>
    <t>акредитація бактеріологічного відділу КДЛ на відповідність ДСТУ 15189:2022</t>
  </si>
  <si>
    <t>5.1.2</t>
  </si>
  <si>
    <t>оплата послуг (крім комунальних): цілодобове пожежне спостереження, обслуговув.системи протипож.захисту, енергомоніторинг, наглядов.аудит за сист.упр.якістю, розпломб.вузла обліку тепл.енергії</t>
  </si>
  <si>
    <t>ТО диз.генератора, газового обладн., аварійного ел.живлення, перев.і випробування пожеж.гідрантів, ел.вимірювання, тех.нагляд за об'єктами, промивка та випробув. сист.опалення, перев.дозоформ. параметри, ТО вогнегасників, встановлення камери відеоспостереження, сервісне обсл.систем очищення води, сист.рентген.радіограф.7200А</t>
  </si>
  <si>
    <t>лабораторні меблі та столи</t>
  </si>
  <si>
    <t>капітальний ремонт частини приміщень в рамках проекту КДЛ (бактеріологія), технічний нагляд за об'єктом</t>
  </si>
  <si>
    <t>Модернізація, модифікація (добудова, дообладнання, реконструкція) основних засобів (розшифрувати)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</si>
</sst>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64" formatCode="_-* #,##0.00\ _₴_-;\-* #,##0.00\ _₴_-;_-* &quot;-&quot;??\ _₴_-;_-@_-"/>
    <numFmt numFmtId="165" formatCode="_-* #,##0.00_₴_-;\-* #,##0.00_₴_-;_-* &quot;-&quot;??_₴_-;_-@_-"/>
    <numFmt numFmtId="166" formatCode="_-* #,##0.00\ _г_р_н_._-;\-* #,##0.00\ _г_р_н_._-;_-* &quot;-&quot;??\ _г_р_н_._-;_-@_-"/>
    <numFmt numFmtId="167" formatCode="#,##0&quot;р.&quot;;[Red]\-#,##0&quot;р.&quot;"/>
    <numFmt numFmtId="168" formatCode="#,##0.00&quot;р.&quot;;\-#,##0.00&quot;р.&quot;"/>
    <numFmt numFmtId="169" formatCode="_-* #,##0.00_р_._-;\-* #,##0.00_р_._-;_-* &quot;-&quot;??_р_._-;_-@_-"/>
    <numFmt numFmtId="170" formatCode="0.0"/>
    <numFmt numFmtId="171" formatCode="#,##0.0"/>
    <numFmt numFmtId="172" formatCode="###\ ##0.000"/>
    <numFmt numFmtId="173" formatCode="_(&quot;$&quot;* #,##0.00_);_(&quot;$&quot;* \(#,##0.00\);_(&quot;$&quot;* &quot;-&quot;??_);_(@_)"/>
    <numFmt numFmtId="174" formatCode="_(* #,##0_);_(* \(#,##0\);_(* &quot;-&quot;_);_(@_)"/>
    <numFmt numFmtId="175" formatCode="_(* #,##0.00_);_(* \(#,##0.00\);_(* &quot;-&quot;??_);_(@_)"/>
    <numFmt numFmtId="176" formatCode="#,##0.0_ ;[Red]\-#,##0.0\ "/>
    <numFmt numFmtId="177" formatCode="0.0;\(0.0\);\ ;\-"/>
    <numFmt numFmtId="178" formatCode="_(* #,##0_);_(* \(#,##0\);_(* &quot;-&quot;??_);_(@_)"/>
    <numFmt numFmtId="179" formatCode="_(* #,##0.0_);_(* \(#,##0.0\);_(* &quot;-&quot;_);_(@_)"/>
    <numFmt numFmtId="180" formatCode="_-* #,##0.0_₴_-;\-* #,##0.0_₴_-;_-* &quot;-&quot;?_₴_-;_-@_-"/>
    <numFmt numFmtId="181" formatCode="#,##0.000"/>
    <numFmt numFmtId="182" formatCode="_(* #,##0.0_);_(* \(#,##0.0\);_(* &quot;-&quot;??_);_(@_)"/>
    <numFmt numFmtId="183" formatCode="_-* #,##0.0\ _₴_-;\-* #,##0.0\ _₴_-;_-* &quot;-&quot;?\ _₴_-;_-@_-"/>
    <numFmt numFmtId="184" formatCode="_-* #,##0.00000\ _₴_-;\-* #,##0.00000\ _₴_-;_-* &quot;-&quot;?????\ _₴_-;_-@_-"/>
  </numFmts>
  <fonts count="105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6"/>
      <color theme="1"/>
      <name val="Arial Cyr"/>
      <charset val="204"/>
    </font>
    <font>
      <sz val="12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6"/>
      <color rgb="FFC00000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i/>
      <sz val="14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54">
    <xf numFmtId="0" fontId="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4" fillId="2" borderId="0" applyNumberFormat="0" applyBorder="0" applyAlignment="0" applyProtection="0"/>
    <xf numFmtId="0" fontId="1" fillId="2" borderId="0" applyNumberFormat="0" applyBorder="0" applyAlignment="0" applyProtection="0"/>
    <xf numFmtId="0" fontId="24" fillId="3" borderId="0" applyNumberFormat="0" applyBorder="0" applyAlignment="0" applyProtection="0"/>
    <xf numFmtId="0" fontId="1" fillId="3" borderId="0" applyNumberFormat="0" applyBorder="0" applyAlignment="0" applyProtection="0"/>
    <xf numFmtId="0" fontId="24" fillId="4" borderId="0" applyNumberFormat="0" applyBorder="0" applyAlignment="0" applyProtection="0"/>
    <xf numFmtId="0" fontId="1" fillId="4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6" borderId="0" applyNumberFormat="0" applyBorder="0" applyAlignment="0" applyProtection="0"/>
    <xf numFmtId="0" fontId="1" fillId="6" borderId="0" applyNumberFormat="0" applyBorder="0" applyAlignment="0" applyProtection="0"/>
    <xf numFmtId="0" fontId="24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9" borderId="0" applyNumberFormat="0" applyBorder="0" applyAlignment="0" applyProtection="0"/>
    <xf numFmtId="0" fontId="1" fillId="9" borderId="0" applyNumberFormat="0" applyBorder="0" applyAlignment="0" applyProtection="0"/>
    <xf numFmtId="0" fontId="24" fillId="10" borderId="0" applyNumberFormat="0" applyBorder="0" applyAlignment="0" applyProtection="0"/>
    <xf numFmtId="0" fontId="1" fillId="10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11" borderId="0" applyNumberFormat="0" applyBorder="0" applyAlignment="0" applyProtection="0"/>
    <xf numFmtId="0" fontId="1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5" fillId="12" borderId="0" applyNumberFormat="0" applyBorder="0" applyAlignment="0" applyProtection="0"/>
    <xf numFmtId="0" fontId="7" fillId="12" borderId="0" applyNumberFormat="0" applyBorder="0" applyAlignment="0" applyProtection="0"/>
    <xf numFmtId="0" fontId="25" fillId="9" borderId="0" applyNumberFormat="0" applyBorder="0" applyAlignment="0" applyProtection="0"/>
    <xf numFmtId="0" fontId="7" fillId="9" borderId="0" applyNumberFormat="0" applyBorder="0" applyAlignment="0" applyProtection="0"/>
    <xf numFmtId="0" fontId="25" fillId="10" borderId="0" applyNumberFormat="0" applyBorder="0" applyAlignment="0" applyProtection="0"/>
    <xf numFmtId="0" fontId="7" fillId="10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8" fillId="3" borderId="0" applyNumberFormat="0" applyBorder="0" applyAlignment="0" applyProtection="0"/>
    <xf numFmtId="0" fontId="10" fillId="20" borderId="1" applyNumberFormat="0" applyAlignment="0" applyProtection="0"/>
    <xf numFmtId="0" fontId="15" fillId="21" borderId="2" applyNumberFormat="0" applyAlignment="0" applyProtection="0"/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166" fontId="5" fillId="0" borderId="0" applyFont="0" applyFill="0" applyBorder="0" applyAlignment="0" applyProtection="0"/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0" fontId="19" fillId="0" borderId="0" applyNumberFormat="0" applyFill="0" applyBorder="0" applyAlignment="0" applyProtection="0"/>
    <xf numFmtId="172" fontId="27" fillId="0" borderId="0" applyAlignment="0">
      <alignment wrapText="1"/>
    </xf>
    <xf numFmtId="0" fontId="22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8" fillId="7" borderId="1" applyNumberFormat="0" applyAlignment="0" applyProtection="0"/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29" fillId="22" borderId="7">
      <alignment horizontal="left" vertical="center"/>
      <protection locked="0"/>
    </xf>
    <xf numFmtId="49" fontId="29" fillId="22" borderId="7">
      <alignment horizontal="left" vertical="center"/>
    </xf>
    <xf numFmtId="4" fontId="29" fillId="22" borderId="7">
      <alignment horizontal="right" vertical="center"/>
      <protection locked="0"/>
    </xf>
    <xf numFmtId="4" fontId="29" fillId="22" borderId="7">
      <alignment horizontal="right" vertical="center"/>
    </xf>
    <xf numFmtId="4" fontId="30" fillId="22" borderId="7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</xf>
    <xf numFmtId="49" fontId="26" fillId="22" borderId="3">
      <alignment horizontal="left" vertical="center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</xf>
    <xf numFmtId="4" fontId="26" fillId="22" borderId="3">
      <alignment horizontal="right" vertical="center"/>
    </xf>
    <xf numFmtId="4" fontId="30" fillId="22" borderId="3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37" fillId="0" borderId="3">
      <alignment horizontal="left" vertical="center"/>
      <protection locked="0"/>
    </xf>
    <xf numFmtId="49" fontId="37" fillId="0" borderId="3">
      <alignment horizontal="left" vertical="center"/>
    </xf>
    <xf numFmtId="49" fontId="38" fillId="0" borderId="3">
      <alignment horizontal="left" vertical="center"/>
      <protection locked="0"/>
    </xf>
    <xf numFmtId="49" fontId="38" fillId="0" borderId="3">
      <alignment horizontal="left" vertical="center"/>
    </xf>
    <xf numFmtId="4" fontId="37" fillId="0" borderId="3">
      <alignment horizontal="right" vertical="center"/>
      <protection locked="0"/>
    </xf>
    <xf numFmtId="4" fontId="37" fillId="0" borderId="3">
      <alignment horizontal="right" vertical="center"/>
    </xf>
    <xf numFmtId="4" fontId="38" fillId="0" borderId="3">
      <alignment horizontal="right" vertical="center"/>
      <protection locked="0"/>
    </xf>
    <xf numFmtId="49" fontId="39" fillId="0" borderId="3">
      <alignment horizontal="left" vertical="center"/>
      <protection locked="0"/>
    </xf>
    <xf numFmtId="49" fontId="39" fillId="0" borderId="3">
      <alignment horizontal="left" vertical="center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" fontId="39" fillId="0" borderId="3">
      <alignment horizontal="right" vertical="center"/>
      <protection locked="0"/>
    </xf>
    <xf numFmtId="4" fontId="39" fillId="0" borderId="3">
      <alignment horizontal="right" vertical="center"/>
    </xf>
    <xf numFmtId="49" fontId="37" fillId="0" borderId="3">
      <alignment horizontal="left" vertical="center"/>
      <protection locked="0"/>
    </xf>
    <xf numFmtId="49" fontId="38" fillId="0" borderId="3">
      <alignment horizontal="left" vertical="center"/>
      <protection locked="0"/>
    </xf>
    <xf numFmtId="4" fontId="37" fillId="0" borderId="3">
      <alignment horizontal="right" vertical="center"/>
      <protection locked="0"/>
    </xf>
    <xf numFmtId="0" fontId="20" fillId="0" borderId="8" applyNumberFormat="0" applyFill="0" applyAlignment="0" applyProtection="0"/>
    <xf numFmtId="0" fontId="17" fillId="23" borderId="0" applyNumberFormat="0" applyBorder="0" applyAlignment="0" applyProtection="0"/>
    <xf numFmtId="0" fontId="5" fillId="0" borderId="0"/>
    <xf numFmtId="0" fontId="5" fillId="0" borderId="0"/>
    <xf numFmtId="0" fontId="5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1" fillId="26" borderId="3">
      <alignment horizontal="right" vertical="center"/>
      <protection locked="0"/>
    </xf>
    <xf numFmtId="4" fontId="41" fillId="27" borderId="3">
      <alignment horizontal="right" vertical="center"/>
      <protection locked="0"/>
    </xf>
    <xf numFmtId="4" fontId="41" fillId="28" borderId="3">
      <alignment horizontal="right" vertical="center"/>
      <protection locked="0"/>
    </xf>
    <xf numFmtId="0" fontId="9" fillId="20" borderId="10" applyNumberFormat="0" applyAlignment="0" applyProtection="0"/>
    <xf numFmtId="49" fontId="26" fillId="0" borderId="3">
      <alignment horizontal="left" vertical="center" wrapText="1"/>
      <protection locked="0"/>
    </xf>
    <xf numFmtId="49" fontId="26" fillId="0" borderId="3">
      <alignment horizontal="left" vertical="center" wrapText="1"/>
      <protection locked="0"/>
    </xf>
    <xf numFmtId="0" fontId="16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5" fillId="16" borderId="0" applyNumberFormat="0" applyBorder="0" applyAlignment="0" applyProtection="0"/>
    <xf numFmtId="0" fontId="7" fillId="16" borderId="0" applyNumberFormat="0" applyBorder="0" applyAlignment="0" applyProtection="0"/>
    <xf numFmtId="0" fontId="25" fillId="17" borderId="0" applyNumberFormat="0" applyBorder="0" applyAlignment="0" applyProtection="0"/>
    <xf numFmtId="0" fontId="7" fillId="17" borderId="0" applyNumberFormat="0" applyBorder="0" applyAlignment="0" applyProtection="0"/>
    <xf numFmtId="0" fontId="25" fillId="18" borderId="0" applyNumberFormat="0" applyBorder="0" applyAlignment="0" applyProtection="0"/>
    <xf numFmtId="0" fontId="7" fillId="18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9" borderId="0" applyNumberFormat="0" applyBorder="0" applyAlignment="0" applyProtection="0"/>
    <xf numFmtId="0" fontId="7" fillId="19" borderId="0" applyNumberFormat="0" applyBorder="0" applyAlignment="0" applyProtection="0"/>
    <xf numFmtId="0" fontId="42" fillId="7" borderId="1" applyNumberFormat="0" applyAlignment="0" applyProtection="0"/>
    <xf numFmtId="0" fontId="8" fillId="7" borderId="1" applyNumberFormat="0" applyAlignment="0" applyProtection="0"/>
    <xf numFmtId="0" fontId="43" fillId="20" borderId="10" applyNumberFormat="0" applyAlignment="0" applyProtection="0"/>
    <xf numFmtId="0" fontId="9" fillId="20" borderId="10" applyNumberFormat="0" applyAlignment="0" applyProtection="0"/>
    <xf numFmtId="0" fontId="44" fillId="20" borderId="1" applyNumberFormat="0" applyAlignment="0" applyProtection="0"/>
    <xf numFmtId="0" fontId="10" fillId="20" borderId="1" applyNumberFormat="0" applyAlignment="0" applyProtection="0"/>
    <xf numFmtId="173" fontId="5" fillId="0" borderId="0" applyFont="0" applyFill="0" applyBorder="0" applyAlignment="0" applyProtection="0"/>
    <xf numFmtId="0" fontId="45" fillId="0" borderId="4" applyNumberFormat="0" applyFill="0" applyAlignment="0" applyProtection="0"/>
    <xf numFmtId="0" fontId="11" fillId="0" borderId="4" applyNumberFormat="0" applyFill="0" applyAlignment="0" applyProtection="0"/>
    <xf numFmtId="0" fontId="46" fillId="0" borderId="5" applyNumberFormat="0" applyFill="0" applyAlignment="0" applyProtection="0"/>
    <xf numFmtId="0" fontId="12" fillId="0" borderId="5" applyNumberFormat="0" applyFill="0" applyAlignment="0" applyProtection="0"/>
    <xf numFmtId="0" fontId="47" fillId="0" borderId="6" applyNumberFormat="0" applyFill="0" applyAlignment="0" applyProtection="0"/>
    <xf numFmtId="0" fontId="13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8" fillId="0" borderId="11" applyNumberFormat="0" applyFill="0" applyAlignment="0" applyProtection="0"/>
    <xf numFmtId="0" fontId="14" fillId="0" borderId="11" applyNumberFormat="0" applyFill="0" applyAlignment="0" applyProtection="0"/>
    <xf numFmtId="0" fontId="49" fillId="21" borderId="2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0" fillId="23" borderId="0" applyNumberFormat="0" applyBorder="0" applyAlignment="0" applyProtection="0"/>
    <xf numFmtId="0" fontId="17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5" fillId="0" borderId="0"/>
    <xf numFmtId="0" fontId="2" fillId="0" borderId="0"/>
    <xf numFmtId="0" fontId="5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1" fillId="3" borderId="0" applyNumberFormat="0" applyBorder="0" applyAlignment="0" applyProtection="0"/>
    <xf numFmtId="0" fontId="18" fillId="3" borderId="0" applyNumberFormat="0" applyBorder="0" applyAlignment="0" applyProtection="0"/>
    <xf numFmtId="0" fontId="5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5" borderId="9" applyNumberFormat="0" applyFont="0" applyAlignment="0" applyProtection="0"/>
    <xf numFmtId="0" fontId="5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8" applyNumberFormat="0" applyFill="0" applyAlignment="0" applyProtection="0"/>
    <xf numFmtId="0" fontId="20" fillId="0" borderId="8" applyNumberFormat="0" applyFill="0" applyAlignment="0" applyProtection="0"/>
    <xf numFmtId="0" fontId="2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4" fontId="57" fillId="0" borderId="0" applyFont="0" applyFill="0" applyBorder="0" applyAlignment="0" applyProtection="0"/>
    <xf numFmtId="175" fontId="5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58" fillId="4" borderId="0" applyNumberFormat="0" applyBorder="0" applyAlignment="0" applyProtection="0"/>
    <xf numFmtId="0" fontId="22" fillId="4" borderId="0" applyNumberFormat="0" applyBorder="0" applyAlignment="0" applyProtection="0"/>
    <xf numFmtId="177" fontId="59" fillId="22" borderId="12" applyFill="0" applyBorder="0">
      <alignment horizontal="center" vertical="center" wrapText="1"/>
      <protection locked="0"/>
    </xf>
    <xf numFmtId="172" fontId="60" fillId="0" borderId="0">
      <alignment wrapText="1"/>
    </xf>
    <xf numFmtId="172" fontId="27" fillId="0" borderId="0">
      <alignment wrapText="1"/>
    </xf>
    <xf numFmtId="0" fontId="2" fillId="0" borderId="0"/>
  </cellStyleXfs>
  <cellXfs count="329">
    <xf numFmtId="0" fontId="0" fillId="0" borderId="0" xfId="0"/>
    <xf numFmtId="0" fontId="62" fillId="0" borderId="0" xfId="0" applyFont="1" applyFill="1" applyBorder="1" applyAlignment="1">
      <alignment vertical="center"/>
    </xf>
    <xf numFmtId="0" fontId="62" fillId="0" borderId="0" xfId="0" applyFont="1" applyFill="1" applyAlignment="1">
      <alignment horizontal="center" vertical="center"/>
    </xf>
    <xf numFmtId="0" fontId="62" fillId="0" borderId="0" xfId="0" applyFont="1" applyFill="1" applyAlignment="1">
      <alignment vertical="center"/>
    </xf>
    <xf numFmtId="0" fontId="62" fillId="0" borderId="0" xfId="0" applyFont="1" applyFill="1" applyBorder="1" applyAlignment="1">
      <alignment vertical="center" wrapText="1"/>
    </xf>
    <xf numFmtId="0" fontId="64" fillId="0" borderId="0" xfId="0" applyFont="1" applyFill="1" applyBorder="1" applyAlignment="1">
      <alignment vertical="center"/>
    </xf>
    <xf numFmtId="0" fontId="64" fillId="0" borderId="0" xfId="0" applyFont="1" applyFill="1" applyBorder="1" applyAlignment="1">
      <alignment vertical="center" wrapText="1"/>
    </xf>
    <xf numFmtId="0" fontId="65" fillId="0" borderId="0" xfId="0" applyFont="1" applyFill="1" applyBorder="1" applyAlignment="1">
      <alignment horizontal="left" vertical="center"/>
    </xf>
    <xf numFmtId="0" fontId="62" fillId="0" borderId="0" xfId="0" applyFont="1" applyFill="1" applyAlignment="1"/>
    <xf numFmtId="0" fontId="71" fillId="0" borderId="3" xfId="0" applyFont="1" applyFill="1" applyBorder="1" applyAlignment="1">
      <alignment horizontal="center" vertical="center" wrapText="1"/>
    </xf>
    <xf numFmtId="0" fontId="64" fillId="0" borderId="17" xfId="0" applyFont="1" applyFill="1" applyBorder="1" applyAlignment="1">
      <alignment horizontal="center" vertical="center" wrapText="1"/>
    </xf>
    <xf numFmtId="0" fontId="64" fillId="0" borderId="3" xfId="0" applyFont="1" applyFill="1" applyBorder="1" applyAlignment="1">
      <alignment horizontal="center" vertical="center" wrapText="1"/>
    </xf>
    <xf numFmtId="179" fontId="64" fillId="0" borderId="3" xfId="0" applyNumberFormat="1" applyFont="1" applyFill="1" applyBorder="1" applyAlignment="1">
      <alignment horizontal="center" vertical="center" wrapText="1"/>
    </xf>
    <xf numFmtId="0" fontId="73" fillId="0" borderId="3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vertical="center"/>
    </xf>
    <xf numFmtId="0" fontId="69" fillId="0" borderId="3" xfId="0" applyFont="1" applyFill="1" applyBorder="1" applyAlignment="1">
      <alignment horizontal="center" vertical="center"/>
    </xf>
    <xf numFmtId="0" fontId="71" fillId="0" borderId="3" xfId="0" applyFont="1" applyFill="1" applyBorder="1" applyAlignment="1">
      <alignment horizontal="left" vertical="center" wrapText="1"/>
    </xf>
    <xf numFmtId="0" fontId="76" fillId="0" borderId="3" xfId="0" applyFont="1" applyFill="1" applyBorder="1" applyAlignment="1">
      <alignment horizontal="center" vertical="center" wrapText="1"/>
    </xf>
    <xf numFmtId="0" fontId="71" fillId="0" borderId="3" xfId="0" applyFont="1" applyFill="1" applyBorder="1" applyAlignment="1">
      <alignment horizontal="left" wrapText="1"/>
    </xf>
    <xf numFmtId="179" fontId="71" fillId="0" borderId="3" xfId="0" applyNumberFormat="1" applyFont="1" applyFill="1" applyBorder="1" applyAlignment="1">
      <alignment horizontal="center" vertical="center" wrapText="1"/>
    </xf>
    <xf numFmtId="0" fontId="78" fillId="0" borderId="3" xfId="0" applyFont="1" applyFill="1" applyBorder="1" applyAlignment="1">
      <alignment horizontal="left" vertical="center" wrapText="1"/>
    </xf>
    <xf numFmtId="0" fontId="73" fillId="0" borderId="3" xfId="0" quotePrefix="1" applyFont="1" applyFill="1" applyBorder="1" applyAlignment="1">
      <alignment horizontal="center" vertical="center"/>
    </xf>
    <xf numFmtId="179" fontId="72" fillId="0" borderId="3" xfId="0" applyNumberFormat="1" applyFont="1" applyFill="1" applyBorder="1" applyAlignment="1">
      <alignment horizontal="right" vertical="center" wrapText="1"/>
    </xf>
    <xf numFmtId="179" fontId="72" fillId="0" borderId="3" xfId="0" applyNumberFormat="1" applyFont="1" applyFill="1" applyBorder="1" applyAlignment="1">
      <alignment horizontal="center" vertical="center" wrapText="1"/>
    </xf>
    <xf numFmtId="0" fontId="64" fillId="0" borderId="13" xfId="0" applyFont="1" applyFill="1" applyBorder="1" applyAlignment="1">
      <alignment horizontal="center" vertical="center"/>
    </xf>
    <xf numFmtId="0" fontId="69" fillId="0" borderId="0" xfId="0" applyFont="1" applyFill="1" applyAlignment="1">
      <alignment horizontal="center" vertical="center"/>
    </xf>
    <xf numFmtId="179" fontId="71" fillId="0" borderId="3" xfId="0" applyNumberFormat="1" applyFont="1" applyFill="1" applyBorder="1" applyAlignment="1">
      <alignment horizontal="right" vertical="center" wrapText="1"/>
    </xf>
    <xf numFmtId="179" fontId="73" fillId="0" borderId="3" xfId="0" applyNumberFormat="1" applyFont="1" applyFill="1" applyBorder="1" applyAlignment="1">
      <alignment horizontal="right" vertical="center" wrapText="1"/>
    </xf>
    <xf numFmtId="0" fontId="71" fillId="0" borderId="3" xfId="0" applyFont="1" applyFill="1" applyBorder="1" applyAlignment="1">
      <alignment vertical="center" wrapText="1"/>
    </xf>
    <xf numFmtId="0" fontId="71" fillId="0" borderId="17" xfId="0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horizontal="center" vertical="center"/>
    </xf>
    <xf numFmtId="0" fontId="71" fillId="0" borderId="15" xfId="0" applyFont="1" applyFill="1" applyBorder="1" applyAlignment="1">
      <alignment horizontal="left" vertical="center" wrapText="1"/>
    </xf>
    <xf numFmtId="0" fontId="63" fillId="0" borderId="3" xfId="0" applyFont="1" applyFill="1" applyBorder="1" applyAlignment="1">
      <alignment horizontal="left" vertical="center" wrapText="1"/>
    </xf>
    <xf numFmtId="179" fontId="64" fillId="0" borderId="3" xfId="0" applyNumberFormat="1" applyFont="1" applyFill="1" applyBorder="1" applyAlignment="1">
      <alignment horizontal="center" vertical="center"/>
    </xf>
    <xf numFmtId="179" fontId="62" fillId="0" borderId="0" xfId="0" applyNumberFormat="1" applyFont="1" applyFill="1" applyBorder="1" applyAlignment="1">
      <alignment vertical="center"/>
    </xf>
    <xf numFmtId="180" fontId="62" fillId="0" borderId="0" xfId="0" applyNumberFormat="1" applyFont="1" applyFill="1" applyBorder="1" applyAlignment="1">
      <alignment vertical="center"/>
    </xf>
    <xf numFmtId="0" fontId="69" fillId="0" borderId="0" xfId="0" applyFont="1" applyFill="1" applyAlignment="1">
      <alignment vertical="center"/>
    </xf>
    <xf numFmtId="0" fontId="83" fillId="0" borderId="0" xfId="0" applyFont="1" applyFill="1" applyBorder="1" applyAlignment="1">
      <alignment horizontal="left" vertical="center"/>
    </xf>
    <xf numFmtId="0" fontId="69" fillId="0" borderId="13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horizontal="center" vertical="center" wrapText="1"/>
    </xf>
    <xf numFmtId="179" fontId="83" fillId="0" borderId="3" xfId="0" applyNumberFormat="1" applyFont="1" applyFill="1" applyBorder="1" applyAlignment="1">
      <alignment vertical="center"/>
    </xf>
    <xf numFmtId="179" fontId="69" fillId="0" borderId="3" xfId="0" applyNumberFormat="1" applyFont="1" applyFill="1" applyBorder="1" applyAlignment="1">
      <alignment vertical="center"/>
    </xf>
    <xf numFmtId="179" fontId="77" fillId="0" borderId="3" xfId="0" applyNumberFormat="1" applyFont="1" applyFill="1" applyBorder="1" applyAlignment="1">
      <alignment vertical="center"/>
    </xf>
    <xf numFmtId="0" fontId="69" fillId="0" borderId="0" xfId="0" applyFont="1" applyFill="1" applyAlignment="1"/>
    <xf numFmtId="0" fontId="69" fillId="0" borderId="0" xfId="0" applyFont="1" applyFill="1" applyBorder="1" applyAlignment="1">
      <alignment vertical="center" wrapText="1" shrinkToFit="1"/>
    </xf>
    <xf numFmtId="0" fontId="85" fillId="0" borderId="0" xfId="0" applyFont="1" applyFill="1" applyAlignment="1">
      <alignment vertical="center"/>
    </xf>
    <xf numFmtId="179" fontId="70" fillId="0" borderId="3" xfId="0" applyNumberFormat="1" applyFont="1" applyFill="1" applyBorder="1" applyAlignment="1">
      <alignment horizontal="right" vertical="center" wrapText="1"/>
    </xf>
    <xf numFmtId="178" fontId="75" fillId="0" borderId="3" xfId="0" applyNumberFormat="1" applyFont="1" applyFill="1" applyBorder="1" applyAlignment="1">
      <alignment horizontal="center" vertical="center" wrapText="1"/>
    </xf>
    <xf numFmtId="0" fontId="64" fillId="0" borderId="3" xfId="0" applyFont="1" applyFill="1" applyBorder="1" applyAlignment="1">
      <alignment horizontal="center" vertical="center"/>
    </xf>
    <xf numFmtId="179" fontId="73" fillId="0" borderId="3" xfId="0" applyNumberFormat="1" applyFont="1" applyFill="1" applyBorder="1" applyAlignment="1">
      <alignment vertical="center" wrapText="1"/>
    </xf>
    <xf numFmtId="179" fontId="63" fillId="0" borderId="3" xfId="0" applyNumberFormat="1" applyFont="1" applyFill="1" applyBorder="1" applyAlignment="1">
      <alignment vertical="center" wrapText="1"/>
    </xf>
    <xf numFmtId="0" fontId="86" fillId="0" borderId="0" xfId="0" applyFont="1" applyFill="1" applyBorder="1" applyAlignment="1">
      <alignment horizontal="center"/>
    </xf>
    <xf numFmtId="0" fontId="87" fillId="0" borderId="0" xfId="0" applyFont="1" applyFill="1" applyBorder="1" applyAlignment="1">
      <alignment horizontal="center" vertical="center"/>
    </xf>
    <xf numFmtId="0" fontId="87" fillId="0" borderId="0" xfId="0" applyFont="1" applyFill="1" applyBorder="1" applyAlignment="1">
      <alignment vertical="center"/>
    </xf>
    <xf numFmtId="170" fontId="87" fillId="0" borderId="0" xfId="0" applyNumberFormat="1" applyFont="1" applyFill="1" applyBorder="1" applyAlignment="1">
      <alignment vertical="center"/>
    </xf>
    <xf numFmtId="183" fontId="62" fillId="0" borderId="0" xfId="0" applyNumberFormat="1" applyFont="1" applyFill="1" applyBorder="1" applyAlignment="1">
      <alignment vertical="center"/>
    </xf>
    <xf numFmtId="0" fontId="69" fillId="0" borderId="13" xfId="0" applyFont="1" applyFill="1" applyBorder="1" applyAlignment="1">
      <alignment vertical="center"/>
    </xf>
    <xf numFmtId="0" fontId="69" fillId="0" borderId="0" xfId="0" applyFont="1" applyFill="1" applyAlignment="1">
      <alignment horizontal="right" vertical="center"/>
    </xf>
    <xf numFmtId="0" fontId="83" fillId="0" borderId="3" xfId="0" applyFont="1" applyFill="1" applyBorder="1" applyAlignment="1">
      <alignment horizontal="center" vertical="center" wrapText="1"/>
    </xf>
    <xf numFmtId="0" fontId="79" fillId="0" borderId="0" xfId="0" applyFont="1" applyFill="1" applyBorder="1" applyAlignment="1">
      <alignment horizontal="center" vertical="center"/>
    </xf>
    <xf numFmtId="0" fontId="62" fillId="0" borderId="0" xfId="0" applyFont="1" applyFill="1" applyBorder="1" applyAlignment="1">
      <alignment horizontal="center" vertical="center"/>
    </xf>
    <xf numFmtId="0" fontId="64" fillId="0" borderId="0" xfId="0" applyFont="1" applyFill="1" applyBorder="1" applyAlignment="1">
      <alignment horizontal="center" vertical="center"/>
    </xf>
    <xf numFmtId="0" fontId="76" fillId="0" borderId="3" xfId="0" applyFont="1" applyFill="1" applyBorder="1" applyAlignment="1">
      <alignment horizontal="center" vertical="center"/>
    </xf>
    <xf numFmtId="179" fontId="73" fillId="0" borderId="3" xfId="0" applyNumberFormat="1" applyFont="1" applyFill="1" applyBorder="1" applyAlignment="1">
      <alignment horizontal="center" vertical="center" wrapText="1"/>
    </xf>
    <xf numFmtId="0" fontId="76" fillId="0" borderId="0" xfId="0" applyFont="1" applyFill="1" applyBorder="1" applyAlignment="1">
      <alignment vertical="center"/>
    </xf>
    <xf numFmtId="0" fontId="76" fillId="0" borderId="0" xfId="0" applyFont="1" applyFill="1" applyAlignment="1">
      <alignment horizontal="left" vertical="center"/>
    </xf>
    <xf numFmtId="0" fontId="91" fillId="0" borderId="0" xfId="0" applyFont="1" applyFill="1" applyAlignment="1">
      <alignment horizontal="center" vertical="center"/>
    </xf>
    <xf numFmtId="0" fontId="71" fillId="0" borderId="3" xfId="0" applyFont="1" applyFill="1" applyBorder="1" applyAlignment="1">
      <alignment horizontal="center" vertical="center" wrapText="1" shrinkToFit="1"/>
    </xf>
    <xf numFmtId="0" fontId="70" fillId="0" borderId="3" xfId="182" applyFont="1" applyFill="1" applyBorder="1" applyAlignment="1">
      <alignment vertical="center" wrapText="1"/>
      <protection locked="0"/>
    </xf>
    <xf numFmtId="0" fontId="70" fillId="0" borderId="3" xfId="0" applyFont="1" applyFill="1" applyBorder="1" applyAlignment="1">
      <alignment horizontal="center" vertical="center"/>
    </xf>
    <xf numFmtId="179" fontId="70" fillId="0" borderId="3" xfId="0" applyNumberFormat="1" applyFont="1" applyFill="1" applyBorder="1" applyAlignment="1">
      <alignment horizontal="center" vertical="center" wrapText="1"/>
    </xf>
    <xf numFmtId="0" fontId="72" fillId="0" borderId="3" xfId="0" applyFont="1" applyFill="1" applyBorder="1" applyAlignment="1">
      <alignment horizontal="left" vertical="center" wrapText="1"/>
    </xf>
    <xf numFmtId="179" fontId="89" fillId="0" borderId="3" xfId="0" applyNumberFormat="1" applyFont="1" applyFill="1" applyBorder="1" applyAlignment="1">
      <alignment horizontal="center" vertical="center" wrapText="1"/>
    </xf>
    <xf numFmtId="0" fontId="72" fillId="0" borderId="3" xfId="182" applyFont="1" applyFill="1" applyBorder="1" applyAlignment="1">
      <alignment vertical="center" wrapText="1"/>
      <protection locked="0"/>
    </xf>
    <xf numFmtId="179" fontId="70" fillId="0" borderId="3" xfId="0" applyNumberFormat="1" applyFont="1" applyFill="1" applyBorder="1" applyAlignment="1">
      <alignment vertical="center" wrapText="1"/>
    </xf>
    <xf numFmtId="179" fontId="90" fillId="0" borderId="3" xfId="0" applyNumberFormat="1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left" vertical="center" wrapText="1"/>
    </xf>
    <xf numFmtId="0" fontId="70" fillId="0" borderId="3" xfId="245" applyFont="1" applyFill="1" applyBorder="1" applyAlignment="1">
      <alignment horizontal="left" vertical="center" wrapText="1"/>
    </xf>
    <xf numFmtId="0" fontId="72" fillId="0" borderId="3" xfId="245" applyFont="1" applyFill="1" applyBorder="1" applyAlignment="1">
      <alignment horizontal="left" vertical="center" wrapText="1"/>
    </xf>
    <xf numFmtId="0" fontId="70" fillId="0" borderId="3" xfId="0" applyFont="1" applyFill="1" applyBorder="1" applyAlignment="1" applyProtection="1">
      <alignment horizontal="left" vertical="center" wrapText="1"/>
      <protection locked="0"/>
    </xf>
    <xf numFmtId="49" fontId="70" fillId="0" borderId="3" xfId="0" applyNumberFormat="1" applyFont="1" applyFill="1" applyBorder="1" applyAlignment="1">
      <alignment horizontal="center" vertical="center"/>
    </xf>
    <xf numFmtId="178" fontId="70" fillId="0" borderId="3" xfId="0" applyNumberFormat="1" applyFont="1" applyFill="1" applyBorder="1" applyAlignment="1">
      <alignment horizontal="center" vertical="center" wrapText="1"/>
    </xf>
    <xf numFmtId="0" fontId="93" fillId="0" borderId="0" xfId="0" applyFont="1" applyFill="1" applyBorder="1" applyAlignment="1">
      <alignment horizontal="center" wrapText="1"/>
    </xf>
    <xf numFmtId="0" fontId="72" fillId="0" borderId="0" xfId="0" quotePrefix="1" applyFont="1" applyFill="1" applyBorder="1" applyAlignment="1">
      <alignment horizontal="center" vertical="center"/>
    </xf>
    <xf numFmtId="171" fontId="92" fillId="0" borderId="0" xfId="0" applyNumberFormat="1" applyFont="1" applyFill="1" applyBorder="1" applyAlignment="1">
      <alignment vertical="center"/>
    </xf>
    <xf numFmtId="0" fontId="72" fillId="0" borderId="0" xfId="0" applyFont="1" applyFill="1" applyBorder="1" applyAlignment="1">
      <alignment vertical="center"/>
    </xf>
    <xf numFmtId="0" fontId="72" fillId="0" borderId="0" xfId="0" applyFont="1" applyFill="1" applyAlignment="1">
      <alignment horizontal="left" vertical="center"/>
    </xf>
    <xf numFmtId="179" fontId="81" fillId="0" borderId="0" xfId="0" applyNumberFormat="1" applyFont="1" applyFill="1" applyBorder="1" applyAlignment="1">
      <alignment horizontal="right" vertical="center" wrapText="1"/>
    </xf>
    <xf numFmtId="179" fontId="94" fillId="0" borderId="3" xfId="0" applyNumberFormat="1" applyFont="1" applyFill="1" applyBorder="1" applyAlignment="1">
      <alignment horizontal="center" vertical="center" wrapText="1"/>
    </xf>
    <xf numFmtId="179" fontId="95" fillId="0" borderId="3" xfId="0" applyNumberFormat="1" applyFont="1" applyFill="1" applyBorder="1" applyAlignment="1">
      <alignment horizontal="center" vertical="center" wrapText="1"/>
    </xf>
    <xf numFmtId="0" fontId="96" fillId="0" borderId="0" xfId="0" applyFont="1" applyFill="1" applyBorder="1" applyAlignment="1">
      <alignment horizontal="center" vertical="center"/>
    </xf>
    <xf numFmtId="0" fontId="66" fillId="0" borderId="0" xfId="0" applyFont="1" applyFill="1" applyBorder="1" applyAlignment="1">
      <alignment horizontal="center"/>
    </xf>
    <xf numFmtId="0" fontId="74" fillId="0" borderId="0" xfId="0" applyFont="1" applyFill="1" applyBorder="1" applyAlignment="1">
      <alignment horizontal="center" vertical="center"/>
    </xf>
    <xf numFmtId="179" fontId="99" fillId="0" borderId="3" xfId="0" applyNumberFormat="1" applyFont="1" applyFill="1" applyBorder="1" applyAlignment="1">
      <alignment horizontal="center" vertical="center"/>
    </xf>
    <xf numFmtId="179" fontId="100" fillId="0" borderId="3" xfId="0" applyNumberFormat="1" applyFont="1" applyFill="1" applyBorder="1" applyAlignment="1">
      <alignment vertical="center"/>
    </xf>
    <xf numFmtId="0" fontId="84" fillId="0" borderId="0" xfId="0" applyFont="1" applyFill="1" applyBorder="1" applyAlignment="1"/>
    <xf numFmtId="49" fontId="73" fillId="0" borderId="3" xfId="0" applyNumberFormat="1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vertical="center"/>
    </xf>
    <xf numFmtId="1" fontId="71" fillId="0" borderId="0" xfId="0" applyNumberFormat="1" applyFont="1" applyFill="1" applyBorder="1" applyAlignment="1">
      <alignment vertical="center"/>
    </xf>
    <xf numFmtId="0" fontId="73" fillId="0" borderId="0" xfId="0" applyFont="1" applyFill="1" applyBorder="1" applyAlignment="1">
      <alignment vertical="center"/>
    </xf>
    <xf numFmtId="0" fontId="64" fillId="0" borderId="3" xfId="0" applyFont="1" applyFill="1" applyBorder="1" applyAlignment="1">
      <alignment horizontal="center" vertical="center" wrapText="1" shrinkToFit="1"/>
    </xf>
    <xf numFmtId="0" fontId="69" fillId="0" borderId="0" xfId="0" applyFont="1" applyFill="1" applyBorder="1" applyAlignment="1">
      <alignment vertical="center"/>
    </xf>
    <xf numFmtId="0" fontId="71" fillId="0" borderId="0" xfId="0" applyFont="1" applyFill="1" applyBorder="1" applyAlignment="1">
      <alignment vertical="center" wrapText="1"/>
    </xf>
    <xf numFmtId="1" fontId="73" fillId="0" borderId="0" xfId="0" applyNumberFormat="1" applyFont="1" applyFill="1" applyBorder="1" applyAlignment="1">
      <alignment vertical="center"/>
    </xf>
    <xf numFmtId="170" fontId="73" fillId="0" borderId="0" xfId="0" applyNumberFormat="1" applyFont="1" applyFill="1" applyBorder="1" applyAlignment="1">
      <alignment vertical="center"/>
    </xf>
    <xf numFmtId="183" fontId="73" fillId="0" borderId="0" xfId="0" applyNumberFormat="1" applyFont="1" applyFill="1" applyBorder="1" applyAlignment="1">
      <alignment vertical="center"/>
    </xf>
    <xf numFmtId="179" fontId="73" fillId="0" borderId="0" xfId="0" applyNumberFormat="1" applyFont="1" applyFill="1" applyBorder="1" applyAlignment="1">
      <alignment vertical="center"/>
    </xf>
    <xf numFmtId="0" fontId="81" fillId="0" borderId="3" xfId="0" applyFont="1" applyFill="1" applyBorder="1" applyAlignment="1">
      <alignment horizontal="left" vertical="center" wrapText="1"/>
    </xf>
    <xf numFmtId="0" fontId="71" fillId="0" borderId="3" xfId="0" applyFont="1" applyFill="1" applyBorder="1" applyAlignment="1">
      <alignment horizontal="right" vertical="center" wrapText="1"/>
    </xf>
    <xf numFmtId="49" fontId="78" fillId="0" borderId="3" xfId="0" applyNumberFormat="1" applyFont="1" applyFill="1" applyBorder="1" applyAlignment="1">
      <alignment horizontal="center" vertical="center" wrapText="1"/>
    </xf>
    <xf numFmtId="0" fontId="78" fillId="0" borderId="3" xfId="0" applyFont="1" applyFill="1" applyBorder="1" applyAlignment="1">
      <alignment horizontal="center" vertical="center" wrapText="1"/>
    </xf>
    <xf numFmtId="179" fontId="78" fillId="0" borderId="3" xfId="0" applyNumberFormat="1" applyFont="1" applyFill="1" applyBorder="1" applyAlignment="1">
      <alignment horizontal="right" vertical="center" wrapText="1"/>
    </xf>
    <xf numFmtId="179" fontId="78" fillId="0" borderId="3" xfId="0" applyNumberFormat="1" applyFont="1" applyFill="1" applyBorder="1" applyAlignment="1">
      <alignment horizontal="center" vertical="center" wrapText="1"/>
    </xf>
    <xf numFmtId="49" fontId="81" fillId="0" borderId="3" xfId="0" applyNumberFormat="1" applyFont="1" applyFill="1" applyBorder="1" applyAlignment="1">
      <alignment horizontal="center" vertical="center" wrapText="1"/>
    </xf>
    <xf numFmtId="49" fontId="71" fillId="0" borderId="3" xfId="0" applyNumberFormat="1" applyFont="1" applyFill="1" applyBorder="1" applyAlignment="1">
      <alignment horizontal="center" vertical="center" wrapText="1"/>
    </xf>
    <xf numFmtId="1" fontId="73" fillId="0" borderId="0" xfId="0" applyNumberFormat="1" applyFont="1" applyFill="1" applyBorder="1" applyAlignment="1">
      <alignment horizontal="right" vertical="center"/>
    </xf>
    <xf numFmtId="179" fontId="71" fillId="0" borderId="0" xfId="0" applyNumberFormat="1" applyFont="1" applyFill="1" applyBorder="1" applyAlignment="1">
      <alignment vertical="center"/>
    </xf>
    <xf numFmtId="171" fontId="71" fillId="0" borderId="0" xfId="0" applyNumberFormat="1" applyFont="1" applyFill="1" applyBorder="1" applyAlignment="1">
      <alignment horizontal="left" vertical="center"/>
    </xf>
    <xf numFmtId="171" fontId="73" fillId="0" borderId="0" xfId="0" applyNumberFormat="1" applyFont="1" applyFill="1" applyBorder="1" applyAlignment="1">
      <alignment vertical="center"/>
    </xf>
    <xf numFmtId="179" fontId="81" fillId="0" borderId="3" xfId="0" applyNumberFormat="1" applyFont="1" applyFill="1" applyBorder="1" applyAlignment="1">
      <alignment horizontal="right" vertical="center" wrapText="1"/>
    </xf>
    <xf numFmtId="183" fontId="71" fillId="0" borderId="0" xfId="0" applyNumberFormat="1" applyFont="1" applyFill="1" applyBorder="1" applyAlignment="1">
      <alignment vertical="center"/>
    </xf>
    <xf numFmtId="0" fontId="81" fillId="0" borderId="3" xfId="0" applyFont="1" applyFill="1" applyBorder="1" applyAlignment="1">
      <alignment horizontal="center" vertical="center" wrapText="1"/>
    </xf>
    <xf numFmtId="179" fontId="81" fillId="0" borderId="3" xfId="0" applyNumberFormat="1" applyFont="1" applyFill="1" applyBorder="1" applyAlignment="1">
      <alignment horizontal="center" vertical="center" wrapText="1"/>
    </xf>
    <xf numFmtId="164" fontId="71" fillId="0" borderId="0" xfId="0" applyNumberFormat="1" applyFont="1" applyFill="1" applyBorder="1" applyAlignment="1">
      <alignment vertical="center"/>
    </xf>
    <xf numFmtId="0" fontId="71" fillId="0" borderId="0" xfId="0" applyNumberFormat="1" applyFont="1" applyFill="1" applyBorder="1" applyAlignment="1">
      <alignment vertical="center"/>
    </xf>
    <xf numFmtId="0" fontId="71" fillId="0" borderId="3" xfId="353" applyFont="1" applyFill="1" applyBorder="1" applyAlignment="1">
      <alignment horizontal="left" vertical="center" wrapText="1"/>
    </xf>
    <xf numFmtId="181" fontId="71" fillId="0" borderId="3" xfId="353" applyNumberFormat="1" applyFont="1" applyFill="1" applyBorder="1" applyAlignment="1">
      <alignment horizontal="center" vertical="center" wrapText="1"/>
    </xf>
    <xf numFmtId="0" fontId="78" fillId="0" borderId="3" xfId="0" applyFont="1" applyFill="1" applyBorder="1" applyAlignment="1">
      <alignment vertical="center" wrapText="1"/>
    </xf>
    <xf numFmtId="0" fontId="81" fillId="0" borderId="3" xfId="0" applyFont="1" applyFill="1" applyBorder="1" applyAlignment="1">
      <alignment vertical="center" wrapText="1"/>
    </xf>
    <xf numFmtId="0" fontId="78" fillId="0" borderId="3" xfId="182" applyFont="1" applyFill="1" applyBorder="1" applyAlignment="1">
      <alignment vertical="center" wrapText="1"/>
      <protection locked="0"/>
    </xf>
    <xf numFmtId="0" fontId="81" fillId="0" borderId="17" xfId="0" applyFont="1" applyFill="1" applyBorder="1" applyAlignment="1">
      <alignment horizontal="center" vertical="center" wrapText="1"/>
    </xf>
    <xf numFmtId="179" fontId="78" fillId="0" borderId="3" xfId="0" applyNumberFormat="1" applyFont="1" applyFill="1" applyBorder="1" applyAlignment="1">
      <alignment vertical="center" wrapText="1"/>
    </xf>
    <xf numFmtId="179" fontId="81" fillId="0" borderId="3" xfId="0" applyNumberFormat="1" applyFont="1" applyFill="1" applyBorder="1" applyAlignment="1">
      <alignment vertical="center" wrapText="1"/>
    </xf>
    <xf numFmtId="0" fontId="81" fillId="0" borderId="16" xfId="0" applyFont="1" applyFill="1" applyBorder="1" applyAlignment="1">
      <alignment horizontal="left" vertical="center" wrapText="1"/>
    </xf>
    <xf numFmtId="179" fontId="81" fillId="0" borderId="15" xfId="0" applyNumberFormat="1" applyFont="1" applyFill="1" applyBorder="1" applyAlignment="1">
      <alignment horizontal="right" vertical="center" wrapText="1"/>
    </xf>
    <xf numFmtId="0" fontId="64" fillId="0" borderId="3" xfId="0" applyFont="1" applyFill="1" applyBorder="1" applyAlignment="1">
      <alignment horizontal="left" vertical="center" wrapText="1"/>
    </xf>
    <xf numFmtId="1" fontId="81" fillId="0" borderId="0" xfId="0" applyNumberFormat="1" applyFont="1" applyFill="1" applyBorder="1" applyAlignment="1">
      <alignment horizontal="left" vertical="center" wrapText="1"/>
    </xf>
    <xf numFmtId="171" fontId="71" fillId="0" borderId="0" xfId="0" applyNumberFormat="1" applyFont="1" applyFill="1" applyBorder="1" applyAlignment="1">
      <alignment horizontal="left" wrapText="1"/>
    </xf>
    <xf numFmtId="0" fontId="71" fillId="0" borderId="0" xfId="0" applyFont="1" applyFill="1" applyBorder="1" applyAlignment="1">
      <alignment horizontal="left" vertical="center" wrapText="1"/>
    </xf>
    <xf numFmtId="0" fontId="80" fillId="0" borderId="3" xfId="0" applyFont="1" applyFill="1" applyBorder="1" applyAlignment="1">
      <alignment horizontal="center" vertical="center" wrapText="1"/>
    </xf>
    <xf numFmtId="0" fontId="63" fillId="0" borderId="15" xfId="0" applyFont="1" applyFill="1" applyBorder="1" applyAlignment="1">
      <alignment horizontal="left" vertical="center" wrapText="1"/>
    </xf>
    <xf numFmtId="171" fontId="71" fillId="0" borderId="0" xfId="0" applyNumberFormat="1" applyFont="1" applyFill="1" applyBorder="1" applyAlignment="1">
      <alignment horizontal="center" vertical="center"/>
    </xf>
    <xf numFmtId="49" fontId="64" fillId="0" borderId="3" xfId="0" applyNumberFormat="1" applyFont="1" applyFill="1" applyBorder="1" applyAlignment="1">
      <alignment horizontal="center" vertical="center" wrapText="1"/>
    </xf>
    <xf numFmtId="49" fontId="80" fillId="0" borderId="3" xfId="0" applyNumberFormat="1" applyFont="1" applyFill="1" applyBorder="1" applyAlignment="1">
      <alignment horizontal="center" vertical="center" wrapText="1"/>
    </xf>
    <xf numFmtId="171" fontId="78" fillId="0" borderId="3" xfId="0" applyNumberFormat="1" applyFont="1" applyFill="1" applyBorder="1" applyAlignment="1">
      <alignment horizontal="right" vertical="center" wrapText="1"/>
    </xf>
    <xf numFmtId="49" fontId="102" fillId="0" borderId="3" xfId="0" applyNumberFormat="1" applyFont="1" applyFill="1" applyBorder="1" applyAlignment="1">
      <alignment horizontal="center" vertical="center" wrapText="1"/>
    </xf>
    <xf numFmtId="179" fontId="99" fillId="0" borderId="3" xfId="0" applyNumberFormat="1" applyFont="1" applyFill="1" applyBorder="1" applyAlignment="1">
      <alignment horizontal="center" vertical="center" wrapText="1"/>
    </xf>
    <xf numFmtId="179" fontId="103" fillId="0" borderId="3" xfId="0" applyNumberFormat="1" applyFont="1" applyFill="1" applyBorder="1" applyAlignment="1">
      <alignment horizontal="center" vertical="center" wrapText="1"/>
    </xf>
    <xf numFmtId="179" fontId="102" fillId="0" borderId="3" xfId="0" applyNumberFormat="1" applyFont="1" applyFill="1" applyBorder="1" applyAlignment="1">
      <alignment horizontal="center" vertical="center" wrapText="1"/>
    </xf>
    <xf numFmtId="179" fontId="97" fillId="0" borderId="3" xfId="0" applyNumberFormat="1" applyFont="1" applyFill="1" applyBorder="1" applyAlignment="1">
      <alignment horizontal="center" vertical="center" wrapText="1"/>
    </xf>
    <xf numFmtId="179" fontId="98" fillId="0" borderId="3" xfId="0" applyNumberFormat="1" applyFont="1" applyFill="1" applyBorder="1" applyAlignment="1">
      <alignment horizontal="center" vertical="center" wrapText="1"/>
    </xf>
    <xf numFmtId="0" fontId="81" fillId="0" borderId="3" xfId="0" applyFont="1" applyFill="1" applyBorder="1" applyAlignment="1">
      <alignment horizontal="left" vertical="top" wrapText="1"/>
    </xf>
    <xf numFmtId="170" fontId="71" fillId="0" borderId="0" xfId="0" applyNumberFormat="1" applyFont="1" applyFill="1" applyBorder="1" applyAlignment="1">
      <alignment vertical="center"/>
    </xf>
    <xf numFmtId="170" fontId="73" fillId="0" borderId="0" xfId="0" applyNumberFormat="1" applyFont="1" applyFill="1" applyBorder="1" applyAlignment="1">
      <alignment horizontal="center" vertical="center"/>
    </xf>
    <xf numFmtId="170" fontId="71" fillId="0" borderId="0" xfId="0" applyNumberFormat="1" applyFont="1" applyFill="1" applyBorder="1" applyAlignment="1">
      <alignment horizontal="center" vertical="center"/>
    </xf>
    <xf numFmtId="170" fontId="81" fillId="0" borderId="0" xfId="0" applyNumberFormat="1" applyFont="1" applyFill="1" applyBorder="1" applyAlignment="1">
      <alignment horizontal="center" vertical="center" wrapText="1"/>
    </xf>
    <xf numFmtId="0" fontId="63" fillId="0" borderId="3" xfId="0" applyFont="1" applyFill="1" applyBorder="1" applyAlignment="1">
      <alignment horizontal="center" vertical="center" wrapText="1"/>
    </xf>
    <xf numFmtId="0" fontId="64" fillId="29" borderId="0" xfId="0" applyFont="1" applyFill="1" applyBorder="1" applyAlignment="1">
      <alignment vertical="center"/>
    </xf>
    <xf numFmtId="0" fontId="63" fillId="29" borderId="0" xfId="0" applyFont="1" applyFill="1" applyBorder="1" applyAlignment="1">
      <alignment vertical="center"/>
    </xf>
    <xf numFmtId="0" fontId="64" fillId="29" borderId="0" xfId="0" applyFont="1" applyFill="1" applyBorder="1" applyAlignment="1">
      <alignment vertical="center" wrapText="1"/>
    </xf>
    <xf numFmtId="0" fontId="64" fillId="29" borderId="0" xfId="0" applyFont="1" applyFill="1" applyBorder="1" applyAlignment="1">
      <alignment horizontal="center" vertical="center"/>
    </xf>
    <xf numFmtId="179" fontId="80" fillId="0" borderId="3" xfId="0" applyNumberFormat="1" applyFont="1" applyFill="1" applyBorder="1" applyAlignment="1">
      <alignment horizontal="center" vertical="center" wrapText="1"/>
    </xf>
    <xf numFmtId="0" fontId="80" fillId="0" borderId="3" xfId="0" applyFont="1" applyFill="1" applyBorder="1" applyAlignment="1">
      <alignment horizontal="left" vertical="center" wrapText="1"/>
    </xf>
    <xf numFmtId="179" fontId="85" fillId="0" borderId="3" xfId="0" applyNumberFormat="1" applyFont="1" applyFill="1" applyBorder="1" applyAlignment="1">
      <alignment horizontal="left" vertical="center" wrapText="1"/>
    </xf>
    <xf numFmtId="179" fontId="63" fillId="0" borderId="3" xfId="0" applyNumberFormat="1" applyFont="1" applyFill="1" applyBorder="1" applyAlignment="1">
      <alignment vertical="center"/>
    </xf>
    <xf numFmtId="179" fontId="80" fillId="0" borderId="3" xfId="0" applyNumberFormat="1" applyFont="1" applyFill="1" applyBorder="1" applyAlignment="1">
      <alignment vertical="center"/>
    </xf>
    <xf numFmtId="179" fontId="80" fillId="0" borderId="3" xfId="0" applyNumberFormat="1" applyFont="1" applyFill="1" applyBorder="1" applyAlignment="1">
      <alignment horizontal="center" vertical="center"/>
    </xf>
    <xf numFmtId="0" fontId="78" fillId="0" borderId="3" xfId="0" quotePrefix="1" applyFont="1" applyFill="1" applyBorder="1" applyAlignment="1">
      <alignment horizontal="center" vertical="center"/>
    </xf>
    <xf numFmtId="179" fontId="103" fillId="0" borderId="3" xfId="0" applyNumberFormat="1" applyFont="1" applyFill="1" applyBorder="1" applyAlignment="1">
      <alignment horizontal="center" vertical="center"/>
    </xf>
    <xf numFmtId="170" fontId="78" fillId="0" borderId="3" xfId="0" applyNumberFormat="1" applyFont="1" applyFill="1" applyBorder="1" applyAlignment="1">
      <alignment vertical="center" wrapText="1"/>
    </xf>
    <xf numFmtId="179" fontId="80" fillId="0" borderId="3" xfId="0" applyNumberFormat="1" applyFont="1" applyFill="1" applyBorder="1" applyAlignment="1">
      <alignment vertical="center" wrapText="1"/>
    </xf>
    <xf numFmtId="0" fontId="73" fillId="0" borderId="3" xfId="0" applyFont="1" applyFill="1" applyBorder="1" applyAlignment="1">
      <alignment vertical="center" wrapText="1"/>
    </xf>
    <xf numFmtId="0" fontId="73" fillId="0" borderId="3" xfId="0" applyFont="1" applyFill="1" applyBorder="1" applyAlignment="1">
      <alignment horizontal="right" vertical="center" wrapText="1"/>
    </xf>
    <xf numFmtId="0" fontId="73" fillId="0" borderId="3" xfId="0" applyFont="1" applyFill="1" applyBorder="1" applyAlignment="1">
      <alignment horizontal="left" vertical="center" wrapText="1"/>
    </xf>
    <xf numFmtId="0" fontId="73" fillId="0" borderId="3" xfId="0" applyFont="1" applyFill="1" applyBorder="1" applyAlignment="1">
      <alignment horizontal="left" wrapText="1"/>
    </xf>
    <xf numFmtId="171" fontId="70" fillId="0" borderId="3" xfId="0" applyNumberFormat="1" applyFont="1" applyFill="1" applyBorder="1" applyAlignment="1">
      <alignment horizontal="right" vertical="center" wrapText="1"/>
    </xf>
    <xf numFmtId="171" fontId="72" fillId="0" borderId="3" xfId="0" applyNumberFormat="1" applyFont="1" applyFill="1" applyBorder="1" applyAlignment="1">
      <alignment horizontal="right" vertical="center" wrapText="1"/>
    </xf>
    <xf numFmtId="0" fontId="64" fillId="30" borderId="0" xfId="0" applyFont="1" applyFill="1" applyBorder="1" applyAlignment="1">
      <alignment horizontal="center" vertical="center"/>
    </xf>
    <xf numFmtId="0" fontId="71" fillId="30" borderId="0" xfId="0" applyFont="1" applyFill="1" applyBorder="1" applyAlignment="1">
      <alignment horizontal="center" vertical="center"/>
    </xf>
    <xf numFmtId="0" fontId="71" fillId="30" borderId="0" xfId="0" applyFont="1" applyFill="1" applyBorder="1" applyAlignment="1">
      <alignment vertical="center"/>
    </xf>
    <xf numFmtId="171" fontId="71" fillId="0" borderId="3" xfId="0" applyNumberFormat="1" applyFont="1" applyFill="1" applyBorder="1" applyAlignment="1">
      <alignment horizontal="right" vertical="center" wrapText="1"/>
    </xf>
    <xf numFmtId="179" fontId="81" fillId="0" borderId="3" xfId="0" applyNumberFormat="1" applyFont="1" applyFill="1" applyBorder="1" applyAlignment="1">
      <alignment horizontal="right" vertical="center" wrapText="1" shrinkToFit="1"/>
    </xf>
    <xf numFmtId="0" fontId="64" fillId="0" borderId="15" xfId="0" applyFont="1" applyFill="1" applyBorder="1" applyAlignment="1">
      <alignment horizontal="left" vertical="center" wrapText="1"/>
    </xf>
    <xf numFmtId="49" fontId="63" fillId="0" borderId="3" xfId="0" applyNumberFormat="1" applyFont="1" applyFill="1" applyBorder="1" applyAlignment="1">
      <alignment horizontal="center" vertical="center" wrapText="1"/>
    </xf>
    <xf numFmtId="171" fontId="73" fillId="0" borderId="3" xfId="0" applyNumberFormat="1" applyFont="1" applyFill="1" applyBorder="1" applyAlignment="1">
      <alignment horizontal="right" vertical="center" wrapText="1"/>
    </xf>
    <xf numFmtId="171" fontId="73" fillId="0" borderId="3" xfId="0" applyNumberFormat="1" applyFont="1" applyFill="1" applyBorder="1" applyAlignment="1">
      <alignment horizontal="right" vertical="center" wrapText="1" shrinkToFit="1"/>
    </xf>
    <xf numFmtId="171" fontId="72" fillId="0" borderId="0" xfId="0" applyNumberFormat="1" applyFont="1" applyFill="1" applyBorder="1" applyAlignment="1">
      <alignment wrapText="1"/>
    </xf>
    <xf numFmtId="0" fontId="76" fillId="0" borderId="0" xfId="0" applyFont="1" applyFill="1" applyAlignment="1">
      <alignment horizontal="center" vertical="center"/>
    </xf>
    <xf numFmtId="171" fontId="71" fillId="0" borderId="0" xfId="0" applyNumberFormat="1" applyFont="1" applyFill="1" applyBorder="1" applyAlignment="1">
      <alignment horizontal="right" vertical="center" wrapText="1"/>
    </xf>
    <xf numFmtId="0" fontId="63" fillId="0" borderId="0" xfId="0" applyFont="1" applyFill="1" applyBorder="1" applyAlignment="1">
      <alignment vertical="center"/>
    </xf>
    <xf numFmtId="0" fontId="71" fillId="0" borderId="3" xfId="0" applyFont="1" applyFill="1" applyBorder="1" applyAlignment="1">
      <alignment horizontal="center" vertical="center"/>
    </xf>
    <xf numFmtId="179" fontId="63" fillId="0" borderId="3" xfId="0" applyNumberFormat="1" applyFont="1" applyFill="1" applyBorder="1" applyAlignment="1">
      <alignment horizontal="center" vertical="center"/>
    </xf>
    <xf numFmtId="182" fontId="71" fillId="0" borderId="3" xfId="0" applyNumberFormat="1" applyFont="1" applyFill="1" applyBorder="1" applyAlignment="1">
      <alignment horizontal="right" vertical="center" wrapText="1"/>
    </xf>
    <xf numFmtId="0" fontId="71" fillId="0" borderId="15" xfId="0" applyFont="1" applyFill="1" applyBorder="1" applyAlignment="1">
      <alignment horizontal="center" vertical="center"/>
    </xf>
    <xf numFmtId="179" fontId="97" fillId="0" borderId="3" xfId="0" applyNumberFormat="1" applyFont="1" applyFill="1" applyBorder="1" applyAlignment="1">
      <alignment horizontal="center" vertical="center"/>
    </xf>
    <xf numFmtId="49" fontId="71" fillId="0" borderId="15" xfId="0" applyNumberFormat="1" applyFont="1" applyFill="1" applyBorder="1" applyAlignment="1">
      <alignment horizontal="center" vertical="center"/>
    </xf>
    <xf numFmtId="0" fontId="64" fillId="0" borderId="16" xfId="0" applyFont="1" applyFill="1" applyBorder="1" applyAlignment="1">
      <alignment horizontal="left" vertical="center" wrapText="1"/>
    </xf>
    <xf numFmtId="0" fontId="71" fillId="0" borderId="15" xfId="0" applyFont="1" applyFill="1" applyBorder="1" applyAlignment="1">
      <alignment vertical="center"/>
    </xf>
    <xf numFmtId="0" fontId="71" fillId="0" borderId="3" xfId="0" applyFont="1" applyFill="1" applyBorder="1" applyAlignment="1">
      <alignment horizontal="right" vertical="center"/>
    </xf>
    <xf numFmtId="0" fontId="73" fillId="0" borderId="3" xfId="0" applyFont="1" applyFill="1" applyBorder="1" applyAlignment="1">
      <alignment horizontal="center" vertical="center"/>
    </xf>
    <xf numFmtId="0" fontId="71" fillId="0" borderId="3" xfId="0" applyFont="1" applyFill="1" applyBorder="1" applyAlignment="1">
      <alignment vertical="center"/>
    </xf>
    <xf numFmtId="0" fontId="82" fillId="0" borderId="3" xfId="0" applyFont="1" applyFill="1" applyBorder="1" applyAlignment="1">
      <alignment horizontal="left" vertical="center" wrapText="1"/>
    </xf>
    <xf numFmtId="0" fontId="71" fillId="0" borderId="3" xfId="0" applyFont="1" applyFill="1" applyBorder="1" applyAlignment="1">
      <alignment horizontal="center"/>
    </xf>
    <xf numFmtId="0" fontId="73" fillId="0" borderId="3" xfId="0" applyFont="1" applyFill="1" applyBorder="1" applyAlignment="1">
      <alignment vertical="center"/>
    </xf>
    <xf numFmtId="0" fontId="71" fillId="0" borderId="18" xfId="0" applyFont="1" applyFill="1" applyBorder="1" applyAlignment="1">
      <alignment horizontal="center"/>
    </xf>
    <xf numFmtId="0" fontId="69" fillId="0" borderId="0" xfId="0" applyFont="1" applyFill="1" applyAlignment="1">
      <alignment vertical="center" wrapText="1" shrinkToFit="1"/>
    </xf>
    <xf numFmtId="0" fontId="81" fillId="0" borderId="3" xfId="182" applyFont="1" applyFill="1" applyBorder="1" applyAlignment="1">
      <alignment vertical="center" wrapText="1"/>
      <protection locked="0"/>
    </xf>
    <xf numFmtId="170" fontId="64" fillId="30" borderId="0" xfId="0" applyNumberFormat="1" applyFont="1" applyFill="1" applyBorder="1" applyAlignment="1">
      <alignment horizontal="center" vertical="center"/>
    </xf>
    <xf numFmtId="178" fontId="70" fillId="0" borderId="3" xfId="0" applyNumberFormat="1" applyFont="1" applyFill="1" applyBorder="1" applyAlignment="1">
      <alignment horizontal="right" vertical="center" wrapText="1"/>
    </xf>
    <xf numFmtId="178" fontId="72" fillId="0" borderId="3" xfId="0" applyNumberFormat="1" applyFont="1" applyFill="1" applyBorder="1" applyAlignment="1">
      <alignment horizontal="right" vertical="center" wrapText="1"/>
    </xf>
    <xf numFmtId="0" fontId="62" fillId="30" borderId="0" xfId="0" applyFont="1" applyFill="1" applyBorder="1" applyAlignment="1">
      <alignment vertical="center"/>
    </xf>
    <xf numFmtId="0" fontId="64" fillId="31" borderId="0" xfId="0" applyFont="1" applyFill="1" applyBorder="1" applyAlignment="1">
      <alignment horizontal="center" vertical="center"/>
    </xf>
    <xf numFmtId="0" fontId="71" fillId="31" borderId="0" xfId="0" applyFont="1" applyFill="1" applyBorder="1" applyAlignment="1">
      <alignment horizontal="center" vertical="center"/>
    </xf>
    <xf numFmtId="0" fontId="71" fillId="31" borderId="0" xfId="0" applyFont="1" applyFill="1" applyBorder="1" applyAlignment="1">
      <alignment vertical="center"/>
    </xf>
    <xf numFmtId="184" fontId="71" fillId="0" borderId="0" xfId="0" applyNumberFormat="1" applyFont="1" applyFill="1" applyBorder="1" applyAlignment="1">
      <alignment vertical="center"/>
    </xf>
    <xf numFmtId="170" fontId="73" fillId="0" borderId="0" xfId="0" applyNumberFormat="1" applyFont="1" applyFill="1" applyBorder="1" applyAlignment="1">
      <alignment horizontal="left" vertical="center"/>
    </xf>
    <xf numFmtId="183" fontId="73" fillId="0" borderId="0" xfId="0" applyNumberFormat="1" applyFont="1" applyFill="1" applyBorder="1" applyAlignment="1">
      <alignment horizontal="left" vertical="center"/>
    </xf>
    <xf numFmtId="0" fontId="83" fillId="0" borderId="15" xfId="0" applyFont="1" applyFill="1" applyBorder="1" applyAlignment="1">
      <alignment horizontal="center" vertical="center" wrapText="1"/>
    </xf>
    <xf numFmtId="0" fontId="72" fillId="0" borderId="3" xfId="0" applyFont="1" applyFill="1" applyBorder="1" applyAlignment="1">
      <alignment horizontal="center" vertical="center"/>
    </xf>
    <xf numFmtId="0" fontId="72" fillId="0" borderId="3" xfId="0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center" vertical="center" wrapText="1"/>
    </xf>
    <xf numFmtId="0" fontId="72" fillId="0" borderId="0" xfId="0" applyFont="1" applyFill="1" applyBorder="1" applyAlignment="1">
      <alignment horizontal="center" vertical="center"/>
    </xf>
    <xf numFmtId="0" fontId="64" fillId="0" borderId="0" xfId="0" applyFont="1" applyFill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center" vertical="center" wrapText="1"/>
    </xf>
    <xf numFmtId="0" fontId="73" fillId="0" borderId="15" xfId="0" applyFont="1" applyFill="1" applyBorder="1" applyAlignment="1">
      <alignment horizontal="left" vertical="center" wrapText="1"/>
    </xf>
    <xf numFmtId="0" fontId="73" fillId="0" borderId="16" xfId="0" applyFont="1" applyFill="1" applyBorder="1" applyAlignment="1">
      <alignment horizontal="left" vertical="center" wrapText="1"/>
    </xf>
    <xf numFmtId="0" fontId="71" fillId="0" borderId="0" xfId="0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center" vertical="center"/>
    </xf>
    <xf numFmtId="0" fontId="69" fillId="0" borderId="15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vertical="center"/>
    </xf>
    <xf numFmtId="179" fontId="70" fillId="0" borderId="3" xfId="0" applyNumberFormat="1" applyFont="1" applyFill="1" applyBorder="1" applyAlignment="1">
      <alignment vertical="center"/>
    </xf>
    <xf numFmtId="0" fontId="72" fillId="0" borderId="0" xfId="0" applyFont="1" applyFill="1" applyAlignment="1">
      <alignment vertical="center"/>
    </xf>
    <xf numFmtId="182" fontId="70" fillId="0" borderId="3" xfId="0" applyNumberFormat="1" applyFont="1" applyFill="1" applyBorder="1" applyAlignment="1">
      <alignment horizontal="right" vertical="center" wrapText="1"/>
    </xf>
    <xf numFmtId="3" fontId="70" fillId="0" borderId="3" xfId="0" applyNumberFormat="1" applyFont="1" applyFill="1" applyBorder="1" applyAlignment="1">
      <alignment horizontal="right" vertical="center" wrapText="1"/>
    </xf>
    <xf numFmtId="3" fontId="72" fillId="0" borderId="3" xfId="0" applyNumberFormat="1" applyFont="1" applyFill="1" applyBorder="1" applyAlignment="1">
      <alignment horizontal="right" vertical="center" wrapText="1"/>
    </xf>
    <xf numFmtId="180" fontId="73" fillId="0" borderId="3" xfId="0" applyNumberFormat="1" applyFont="1" applyFill="1" applyBorder="1" applyAlignment="1">
      <alignment horizontal="right" vertical="center" wrapText="1"/>
    </xf>
    <xf numFmtId="171" fontId="64" fillId="0" borderId="0" xfId="0" applyNumberFormat="1" applyFont="1" applyFill="1" applyBorder="1" applyAlignment="1">
      <alignment vertical="center"/>
    </xf>
    <xf numFmtId="182" fontId="71" fillId="0" borderId="3" xfId="0" applyNumberFormat="1" applyFont="1" applyFill="1" applyBorder="1" applyAlignment="1">
      <alignment horizontal="right" vertical="center"/>
    </xf>
    <xf numFmtId="0" fontId="88" fillId="0" borderId="0" xfId="0" applyFont="1" applyFill="1" applyBorder="1" applyAlignment="1">
      <alignment vertical="center"/>
    </xf>
    <xf numFmtId="182" fontId="71" fillId="0" borderId="3" xfId="0" applyNumberFormat="1" applyFont="1" applyFill="1" applyBorder="1" applyAlignment="1">
      <alignment horizontal="right" vertical="center" wrapText="1" shrinkToFit="1"/>
    </xf>
    <xf numFmtId="183" fontId="64" fillId="0" borderId="0" xfId="0" applyNumberFormat="1" applyFont="1" applyFill="1" applyBorder="1" applyAlignment="1">
      <alignment vertical="center"/>
    </xf>
    <xf numFmtId="4" fontId="64" fillId="0" borderId="3" xfId="0" applyNumberFormat="1" applyFont="1" applyFill="1" applyBorder="1" applyAlignment="1">
      <alignment wrapText="1"/>
    </xf>
    <xf numFmtId="171" fontId="71" fillId="0" borderId="3" xfId="0" applyNumberFormat="1" applyFont="1" applyFill="1" applyBorder="1" applyAlignment="1">
      <alignment horizontal="right" vertical="center" wrapText="1" shrinkToFit="1"/>
    </xf>
    <xf numFmtId="171" fontId="64" fillId="0" borderId="3" xfId="0" applyNumberFormat="1" applyFont="1" applyFill="1" applyBorder="1" applyAlignment="1">
      <alignment horizontal="right" wrapText="1"/>
    </xf>
    <xf numFmtId="171" fontId="81" fillId="0" borderId="3" xfId="0" applyNumberFormat="1" applyFont="1" applyFill="1" applyBorder="1" applyAlignment="1">
      <alignment horizontal="right" vertical="center" wrapText="1"/>
    </xf>
    <xf numFmtId="171" fontId="81" fillId="0" borderId="3" xfId="0" applyNumberFormat="1" applyFont="1" applyFill="1" applyBorder="1" applyAlignment="1">
      <alignment horizontal="right" vertical="center" wrapText="1" shrinkToFit="1"/>
    </xf>
    <xf numFmtId="179" fontId="71" fillId="0" borderId="3" xfId="0" applyNumberFormat="1" applyFont="1" applyFill="1" applyBorder="1" applyAlignment="1">
      <alignment horizontal="right" vertical="center" wrapText="1" shrinkToFit="1"/>
    </xf>
    <xf numFmtId="171" fontId="63" fillId="0" borderId="3" xfId="0" applyNumberFormat="1" applyFont="1" applyFill="1" applyBorder="1" applyAlignment="1">
      <alignment horizontal="right" wrapText="1"/>
    </xf>
    <xf numFmtId="171" fontId="63" fillId="0" borderId="3" xfId="0" applyNumberFormat="1" applyFont="1" applyFill="1" applyBorder="1" applyAlignment="1">
      <alignment horizontal="right" vertical="center" wrapText="1"/>
    </xf>
    <xf numFmtId="0" fontId="82" fillId="0" borderId="15" xfId="0" applyFont="1" applyFill="1" applyBorder="1" applyAlignment="1">
      <alignment horizontal="left" vertical="center" wrapText="1"/>
    </xf>
    <xf numFmtId="4" fontId="63" fillId="0" borderId="3" xfId="0" applyNumberFormat="1" applyFont="1" applyFill="1" applyBorder="1" applyAlignment="1">
      <alignment vertical="center" wrapText="1"/>
    </xf>
    <xf numFmtId="4" fontId="102" fillId="0" borderId="3" xfId="0" applyNumberFormat="1" applyFont="1" applyFill="1" applyBorder="1" applyAlignment="1">
      <alignment vertical="center" wrapText="1"/>
    </xf>
    <xf numFmtId="4" fontId="102" fillId="0" borderId="3" xfId="0" applyNumberFormat="1" applyFont="1" applyFill="1" applyBorder="1" applyAlignment="1">
      <alignment wrapText="1"/>
    </xf>
    <xf numFmtId="4" fontId="64" fillId="0" borderId="3" xfId="0" applyNumberFormat="1" applyFont="1" applyFill="1" applyBorder="1" applyAlignment="1">
      <alignment vertical="center" wrapText="1"/>
    </xf>
    <xf numFmtId="0" fontId="102" fillId="0" borderId="3" xfId="0" applyFont="1" applyFill="1" applyBorder="1" applyAlignment="1">
      <alignment horizontal="left" vertical="center" wrapText="1"/>
    </xf>
    <xf numFmtId="0" fontId="81" fillId="0" borderId="3" xfId="0" applyFont="1" applyFill="1" applyBorder="1" applyAlignment="1">
      <alignment horizontal="left" wrapText="1"/>
    </xf>
    <xf numFmtId="170" fontId="63" fillId="0" borderId="0" xfId="0" applyNumberFormat="1" applyFont="1" applyFill="1" applyBorder="1" applyAlignment="1">
      <alignment horizontal="center" vertical="center" wrapText="1"/>
    </xf>
    <xf numFmtId="1" fontId="69" fillId="0" borderId="3" xfId="0" applyNumberFormat="1" applyFont="1" applyFill="1" applyBorder="1" applyAlignment="1">
      <alignment horizontal="center" vertical="center" wrapText="1"/>
    </xf>
    <xf numFmtId="0" fontId="64" fillId="0" borderId="3" xfId="0" applyFont="1" applyFill="1" applyBorder="1" applyAlignment="1">
      <alignment vertical="center" wrapText="1"/>
    </xf>
    <xf numFmtId="179" fontId="71" fillId="0" borderId="3" xfId="0" applyNumberFormat="1" applyFont="1" applyFill="1" applyBorder="1" applyAlignment="1">
      <alignment horizontal="left" vertical="center" wrapText="1"/>
    </xf>
    <xf numFmtId="4" fontId="71" fillId="0" borderId="3" xfId="0" applyNumberFormat="1" applyFont="1" applyFill="1" applyBorder="1" applyAlignment="1">
      <alignment horizontal="left" vertical="center" wrapText="1"/>
    </xf>
    <xf numFmtId="170" fontId="64" fillId="0" borderId="13" xfId="0" applyNumberFormat="1" applyFont="1" applyFill="1" applyBorder="1" applyAlignment="1">
      <alignment horizontal="center" vertical="center"/>
    </xf>
    <xf numFmtId="0" fontId="71" fillId="0" borderId="13" xfId="0" applyFont="1" applyFill="1" applyBorder="1" applyAlignment="1">
      <alignment horizontal="center" vertical="center"/>
    </xf>
    <xf numFmtId="0" fontId="75" fillId="0" borderId="0" xfId="0" applyFont="1" applyFill="1" applyBorder="1" applyAlignment="1">
      <alignment horizontal="center" vertical="center"/>
    </xf>
    <xf numFmtId="0" fontId="75" fillId="0" borderId="0" xfId="0" applyFont="1" applyFill="1" applyBorder="1" applyAlignment="1">
      <alignment horizontal="center" vertical="top" wrapText="1"/>
    </xf>
    <xf numFmtId="0" fontId="75" fillId="0" borderId="0" xfId="0" applyFont="1" applyFill="1" applyBorder="1" applyAlignment="1">
      <alignment horizontal="center" vertical="top"/>
    </xf>
    <xf numFmtId="0" fontId="75" fillId="0" borderId="3" xfId="0" applyFont="1" applyFill="1" applyBorder="1" applyAlignment="1">
      <alignment horizontal="center" vertical="center"/>
    </xf>
    <xf numFmtId="0" fontId="75" fillId="0" borderId="15" xfId="0" applyFont="1" applyFill="1" applyBorder="1" applyAlignment="1" applyProtection="1">
      <alignment horizontal="center" vertical="center"/>
      <protection locked="0"/>
    </xf>
    <xf numFmtId="0" fontId="75" fillId="0" borderId="14" xfId="0" applyFont="1" applyFill="1" applyBorder="1" applyAlignment="1" applyProtection="1">
      <alignment horizontal="center" vertical="center"/>
      <protection locked="0"/>
    </xf>
    <xf numFmtId="0" fontId="75" fillId="0" borderId="16" xfId="0" applyFont="1" applyFill="1" applyBorder="1" applyAlignment="1" applyProtection="1">
      <alignment horizontal="center" vertical="center"/>
      <protection locked="0"/>
    </xf>
    <xf numFmtId="0" fontId="72" fillId="0" borderId="3" xfId="0" applyFont="1" applyFill="1" applyBorder="1" applyAlignment="1">
      <alignment horizontal="center" vertical="center"/>
    </xf>
    <xf numFmtId="0" fontId="72" fillId="0" borderId="3" xfId="0" applyFont="1" applyFill="1" applyBorder="1" applyAlignment="1">
      <alignment horizontal="center" vertical="center" wrapText="1"/>
    </xf>
    <xf numFmtId="0" fontId="75" fillId="0" borderId="3" xfId="0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center" vertical="center" wrapText="1"/>
    </xf>
    <xf numFmtId="0" fontId="72" fillId="0" borderId="0" xfId="0" applyFont="1" applyFill="1" applyAlignment="1">
      <alignment horizontal="center" vertical="center"/>
    </xf>
    <xf numFmtId="0" fontId="70" fillId="0" borderId="13" xfId="0" applyFont="1" applyFill="1" applyBorder="1" applyAlignment="1">
      <alignment horizontal="center"/>
    </xf>
    <xf numFmtId="0" fontId="75" fillId="0" borderId="15" xfId="0" applyFont="1" applyFill="1" applyBorder="1" applyAlignment="1">
      <alignment horizontal="center" vertical="center"/>
    </xf>
    <xf numFmtId="0" fontId="75" fillId="0" borderId="14" xfId="0" applyFont="1" applyFill="1" applyBorder="1" applyAlignment="1">
      <alignment horizontal="center" vertical="center"/>
    </xf>
    <xf numFmtId="0" fontId="75" fillId="0" borderId="16" xfId="0" applyFont="1" applyFill="1" applyBorder="1" applyAlignment="1">
      <alignment horizontal="center" vertical="center"/>
    </xf>
    <xf numFmtId="0" fontId="72" fillId="0" borderId="15" xfId="0" applyFont="1" applyFill="1" applyBorder="1" applyAlignment="1">
      <alignment horizontal="center" vertical="center" wrapText="1"/>
    </xf>
    <xf numFmtId="0" fontId="72" fillId="0" borderId="16" xfId="0" applyFont="1" applyFill="1" applyBorder="1" applyAlignment="1">
      <alignment horizontal="center" vertical="center" wrapText="1"/>
    </xf>
    <xf numFmtId="0" fontId="72" fillId="0" borderId="17" xfId="0" applyFont="1" applyFill="1" applyBorder="1" applyAlignment="1">
      <alignment horizontal="center" vertical="center" wrapText="1"/>
    </xf>
    <xf numFmtId="0" fontId="72" fillId="0" borderId="18" xfId="0" applyFont="1" applyFill="1" applyBorder="1" applyAlignment="1">
      <alignment horizontal="center" vertical="center" wrapText="1"/>
    </xf>
    <xf numFmtId="0" fontId="72" fillId="0" borderId="22" xfId="0" applyFont="1" applyFill="1" applyBorder="1" applyAlignment="1">
      <alignment horizontal="center" vertical="center" wrapText="1"/>
    </xf>
    <xf numFmtId="0" fontId="72" fillId="0" borderId="23" xfId="0" applyFont="1" applyFill="1" applyBorder="1" applyAlignment="1">
      <alignment horizontal="center" vertical="center" wrapText="1"/>
    </xf>
    <xf numFmtId="0" fontId="72" fillId="0" borderId="17" xfId="0" applyFont="1" applyFill="1" applyBorder="1" applyAlignment="1">
      <alignment horizontal="center" vertical="center"/>
    </xf>
    <xf numFmtId="0" fontId="72" fillId="0" borderId="18" xfId="0" applyFont="1" applyFill="1" applyBorder="1" applyAlignment="1">
      <alignment horizontal="center" vertical="center"/>
    </xf>
    <xf numFmtId="171" fontId="72" fillId="0" borderId="14" xfId="0" quotePrefix="1" applyNumberFormat="1" applyFont="1" applyFill="1" applyBorder="1" applyAlignment="1">
      <alignment horizontal="center" wrapText="1"/>
    </xf>
    <xf numFmtId="0" fontId="72" fillId="0" borderId="0" xfId="0" applyFont="1" applyFill="1" applyBorder="1" applyAlignment="1">
      <alignment horizontal="center" vertical="center"/>
    </xf>
    <xf numFmtId="0" fontId="64" fillId="0" borderId="0" xfId="0" applyFont="1" applyFill="1" applyBorder="1" applyAlignment="1">
      <alignment horizontal="center" vertical="center" wrapText="1"/>
    </xf>
    <xf numFmtId="0" fontId="73" fillId="0" borderId="15" xfId="0" applyFont="1" applyFill="1" applyBorder="1" applyAlignment="1">
      <alignment horizontal="center" vertical="center" wrapText="1"/>
    </xf>
    <xf numFmtId="0" fontId="73" fillId="0" borderId="16" xfId="0" applyFont="1" applyFill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center" vertical="center" wrapText="1"/>
    </xf>
    <xf numFmtId="171" fontId="74" fillId="0" borderId="13" xfId="0" applyNumberFormat="1" applyFont="1" applyFill="1" applyBorder="1" applyAlignment="1">
      <alignment horizontal="left" wrapText="1"/>
    </xf>
    <xf numFmtId="0" fontId="64" fillId="0" borderId="19" xfId="0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center" wrapText="1"/>
    </xf>
    <xf numFmtId="0" fontId="73" fillId="0" borderId="15" xfId="0" applyFont="1" applyFill="1" applyBorder="1" applyAlignment="1">
      <alignment horizontal="center" vertical="center"/>
    </xf>
    <xf numFmtId="0" fontId="73" fillId="0" borderId="16" xfId="0" applyFont="1" applyFill="1" applyBorder="1" applyAlignment="1">
      <alignment horizontal="center" vertical="center"/>
    </xf>
    <xf numFmtId="0" fontId="73" fillId="0" borderId="15" xfId="0" applyFont="1" applyFill="1" applyBorder="1" applyAlignment="1">
      <alignment horizontal="left" vertical="center" wrapText="1"/>
    </xf>
    <xf numFmtId="0" fontId="73" fillId="0" borderId="16" xfId="0" applyFont="1" applyFill="1" applyBorder="1" applyAlignment="1">
      <alignment horizontal="left" vertical="center" wrapText="1"/>
    </xf>
    <xf numFmtId="2" fontId="73" fillId="0" borderId="15" xfId="0" applyNumberFormat="1" applyFont="1" applyFill="1" applyBorder="1" applyAlignment="1">
      <alignment horizontal="left" vertical="center" wrapText="1"/>
    </xf>
    <xf numFmtId="2" fontId="73" fillId="0" borderId="16" xfId="0" applyNumberFormat="1" applyFont="1" applyFill="1" applyBorder="1" applyAlignment="1">
      <alignment horizontal="left" vertical="center" wrapText="1"/>
    </xf>
    <xf numFmtId="0" fontId="63" fillId="0" borderId="15" xfId="0" applyFont="1" applyFill="1" applyBorder="1" applyAlignment="1">
      <alignment horizontal="center" vertical="center" wrapText="1"/>
    </xf>
    <xf numFmtId="0" fontId="63" fillId="0" borderId="16" xfId="0" applyFont="1" applyFill="1" applyBorder="1" applyAlignment="1">
      <alignment horizontal="center" vertical="center" wrapText="1"/>
    </xf>
    <xf numFmtId="0" fontId="71" fillId="0" borderId="19" xfId="0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horizontal="center" vertical="center" wrapText="1"/>
    </xf>
    <xf numFmtId="0" fontId="96" fillId="0" borderId="0" xfId="0" applyFont="1" applyFill="1" applyBorder="1" applyAlignment="1">
      <alignment horizontal="center" wrapText="1"/>
    </xf>
    <xf numFmtId="171" fontId="101" fillId="0" borderId="13" xfId="0" applyNumberFormat="1" applyFont="1" applyFill="1" applyBorder="1" applyAlignment="1">
      <alignment horizontal="left" wrapText="1"/>
    </xf>
    <xf numFmtId="0" fontId="73" fillId="0" borderId="14" xfId="0" applyFont="1" applyFill="1" applyBorder="1" applyAlignment="1">
      <alignment horizontal="center" wrapText="1"/>
    </xf>
    <xf numFmtId="0" fontId="69" fillId="0" borderId="19" xfId="0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0" fontId="86" fillId="0" borderId="14" xfId="0" applyFont="1" applyFill="1" applyBorder="1" applyAlignment="1">
      <alignment horizontal="center"/>
    </xf>
    <xf numFmtId="0" fontId="67" fillId="0" borderId="0" xfId="0" applyFont="1" applyFill="1" applyAlignment="1">
      <alignment vertical="center" wrapText="1"/>
    </xf>
    <xf numFmtId="0" fontId="68" fillId="0" borderId="0" xfId="0" applyFont="1" applyFill="1" applyAlignment="1">
      <alignment vertical="center" wrapText="1"/>
    </xf>
    <xf numFmtId="0" fontId="69" fillId="0" borderId="17" xfId="0" applyFont="1" applyFill="1" applyBorder="1" applyAlignment="1">
      <alignment horizontal="center" vertical="center" wrapText="1"/>
    </xf>
    <xf numFmtId="0" fontId="69" fillId="0" borderId="18" xfId="0" applyFont="1" applyFill="1" applyBorder="1" applyAlignment="1">
      <alignment horizontal="center" vertical="center" wrapText="1"/>
    </xf>
    <xf numFmtId="0" fontId="69" fillId="0" borderId="15" xfId="0" applyFont="1" applyFill="1" applyBorder="1" applyAlignment="1">
      <alignment horizontal="center" vertical="center" wrapText="1"/>
    </xf>
    <xf numFmtId="0" fontId="69" fillId="0" borderId="14" xfId="0" applyFont="1" applyFill="1" applyBorder="1" applyAlignment="1">
      <alignment horizontal="center" vertical="center" wrapText="1"/>
    </xf>
    <xf numFmtId="0" fontId="69" fillId="0" borderId="16" xfId="0" applyFont="1" applyFill="1" applyBorder="1" applyAlignment="1">
      <alignment horizontal="center" vertical="center" wrapText="1"/>
    </xf>
    <xf numFmtId="3" fontId="63" fillId="0" borderId="15" xfId="0" applyNumberFormat="1" applyFont="1" applyFill="1" applyBorder="1" applyAlignment="1">
      <alignment horizontal="left" vertical="center" wrapText="1"/>
    </xf>
    <xf numFmtId="3" fontId="63" fillId="0" borderId="16" xfId="0" applyNumberFormat="1" applyFont="1" applyFill="1" applyBorder="1" applyAlignment="1">
      <alignment horizontal="left" vertical="center" wrapText="1"/>
    </xf>
    <xf numFmtId="0" fontId="69" fillId="0" borderId="20" xfId="0" applyFont="1" applyFill="1" applyBorder="1" applyAlignment="1">
      <alignment horizontal="center" vertical="center" wrapText="1"/>
    </xf>
    <xf numFmtId="0" fontId="69" fillId="0" borderId="21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vertical="center"/>
    </xf>
    <xf numFmtId="0" fontId="84" fillId="0" borderId="0" xfId="0" applyFont="1" applyFill="1" applyBorder="1" applyAlignment="1">
      <alignment horizontal="center" wrapText="1"/>
    </xf>
    <xf numFmtId="0" fontId="83" fillId="0" borderId="14" xfId="0" applyFont="1" applyFill="1" applyBorder="1" applyAlignment="1">
      <alignment horizontal="center"/>
    </xf>
    <xf numFmtId="179" fontId="62" fillId="0" borderId="3" xfId="0" applyNumberFormat="1" applyFont="1" applyFill="1" applyBorder="1" applyAlignment="1">
      <alignment horizontal="left" vertical="center" wrapText="1"/>
    </xf>
  </cellXfs>
  <cellStyles count="354">
    <cellStyle name="_Fakt_2" xfId="1" xr:uid="{00000000-0005-0000-0000-000000000000}"/>
    <cellStyle name="_rozhufrovka 2009" xfId="2" xr:uid="{00000000-0005-0000-0000-000001000000}"/>
    <cellStyle name="_АТиСТ 5а МТР липень 2008" xfId="3" xr:uid="{00000000-0005-0000-0000-000002000000}"/>
    <cellStyle name="_ПРГК сводний_" xfId="4" xr:uid="{00000000-0005-0000-0000-000003000000}"/>
    <cellStyle name="_УТГ" xfId="5" xr:uid="{00000000-0005-0000-0000-000004000000}"/>
    <cellStyle name="_Феодосия 5а МТР липень 2008" xfId="6" xr:uid="{00000000-0005-0000-0000-000005000000}"/>
    <cellStyle name="_ХТГ довідка." xfId="7" xr:uid="{00000000-0005-0000-0000-000006000000}"/>
    <cellStyle name="_Шебелинка 5а МТР липень 2008" xfId="8" xr:uid="{00000000-0005-0000-0000-000007000000}"/>
    <cellStyle name="20% - Accent1" xfId="9" xr:uid="{00000000-0005-0000-0000-000008000000}"/>
    <cellStyle name="20% - Accent2" xfId="10" xr:uid="{00000000-0005-0000-0000-000009000000}"/>
    <cellStyle name="20% - Accent3" xfId="11" xr:uid="{00000000-0005-0000-0000-00000A000000}"/>
    <cellStyle name="20% - Accent4" xfId="12" xr:uid="{00000000-0005-0000-0000-00000B000000}"/>
    <cellStyle name="20% - Accent5" xfId="13" xr:uid="{00000000-0005-0000-0000-00000C000000}"/>
    <cellStyle name="20% - Accent6" xfId="14" xr:uid="{00000000-0005-0000-0000-00000D000000}"/>
    <cellStyle name="20% - Акцент1 2" xfId="15" xr:uid="{00000000-0005-0000-0000-00000E000000}"/>
    <cellStyle name="20% - Акцент1 3" xfId="16" xr:uid="{00000000-0005-0000-0000-00000F000000}"/>
    <cellStyle name="20% - Акцент2 2" xfId="17" xr:uid="{00000000-0005-0000-0000-000010000000}"/>
    <cellStyle name="20% - Акцент2 3" xfId="18" xr:uid="{00000000-0005-0000-0000-000011000000}"/>
    <cellStyle name="20% - Акцент3 2" xfId="19" xr:uid="{00000000-0005-0000-0000-000012000000}"/>
    <cellStyle name="20% - Акцент3 3" xfId="20" xr:uid="{00000000-0005-0000-0000-000013000000}"/>
    <cellStyle name="20% - Акцент4 2" xfId="21" xr:uid="{00000000-0005-0000-0000-000014000000}"/>
    <cellStyle name="20% - Акцент4 3" xfId="22" xr:uid="{00000000-0005-0000-0000-000015000000}"/>
    <cellStyle name="20% - Акцент5 2" xfId="23" xr:uid="{00000000-0005-0000-0000-000016000000}"/>
    <cellStyle name="20% - Акцент5 3" xfId="24" xr:uid="{00000000-0005-0000-0000-000017000000}"/>
    <cellStyle name="20% - Акцент6 2" xfId="25" xr:uid="{00000000-0005-0000-0000-000018000000}"/>
    <cellStyle name="20% - Акцент6 3" xfId="26" xr:uid="{00000000-0005-0000-0000-000019000000}"/>
    <cellStyle name="40% - Accent1" xfId="27" xr:uid="{00000000-0005-0000-0000-00001A000000}"/>
    <cellStyle name="40% - Accent2" xfId="28" xr:uid="{00000000-0005-0000-0000-00001B000000}"/>
    <cellStyle name="40% - Accent3" xfId="29" xr:uid="{00000000-0005-0000-0000-00001C000000}"/>
    <cellStyle name="40% - Accent4" xfId="30" xr:uid="{00000000-0005-0000-0000-00001D000000}"/>
    <cellStyle name="40% - Accent5" xfId="31" xr:uid="{00000000-0005-0000-0000-00001E000000}"/>
    <cellStyle name="40% - Accent6" xfId="32" xr:uid="{00000000-0005-0000-0000-00001F000000}"/>
    <cellStyle name="40% - Акцент1 2" xfId="33" xr:uid="{00000000-0005-0000-0000-000020000000}"/>
    <cellStyle name="40% - Акцент1 3" xfId="34" xr:uid="{00000000-0005-0000-0000-000021000000}"/>
    <cellStyle name="40% - Акцент2 2" xfId="35" xr:uid="{00000000-0005-0000-0000-000022000000}"/>
    <cellStyle name="40% - Акцент2 3" xfId="36" xr:uid="{00000000-0005-0000-0000-000023000000}"/>
    <cellStyle name="40% - Акцент3 2" xfId="37" xr:uid="{00000000-0005-0000-0000-000024000000}"/>
    <cellStyle name="40% - Акцент3 3" xfId="38" xr:uid="{00000000-0005-0000-0000-000025000000}"/>
    <cellStyle name="40% - Акцент4 2" xfId="39" xr:uid="{00000000-0005-0000-0000-000026000000}"/>
    <cellStyle name="40% - Акцент4 3" xfId="40" xr:uid="{00000000-0005-0000-0000-000027000000}"/>
    <cellStyle name="40% - Акцент5 2" xfId="41" xr:uid="{00000000-0005-0000-0000-000028000000}"/>
    <cellStyle name="40% - Акцент5 3" xfId="42" xr:uid="{00000000-0005-0000-0000-000029000000}"/>
    <cellStyle name="40% - Акцент6 2" xfId="43" xr:uid="{00000000-0005-0000-0000-00002A000000}"/>
    <cellStyle name="40% - Акцент6 3" xfId="44" xr:uid="{00000000-0005-0000-0000-00002B000000}"/>
    <cellStyle name="60% - Accent1" xfId="45" xr:uid="{00000000-0005-0000-0000-00002C000000}"/>
    <cellStyle name="60% - Accent2" xfId="46" xr:uid="{00000000-0005-0000-0000-00002D000000}"/>
    <cellStyle name="60% - Accent3" xfId="47" xr:uid="{00000000-0005-0000-0000-00002E000000}"/>
    <cellStyle name="60% - Accent4" xfId="48" xr:uid="{00000000-0005-0000-0000-00002F000000}"/>
    <cellStyle name="60% - Accent5" xfId="49" xr:uid="{00000000-0005-0000-0000-000030000000}"/>
    <cellStyle name="60% - Accent6" xfId="50" xr:uid="{00000000-0005-0000-0000-000031000000}"/>
    <cellStyle name="60% - Акцент1 2" xfId="51" xr:uid="{00000000-0005-0000-0000-000032000000}"/>
    <cellStyle name="60% - Акцент1 3" xfId="52" xr:uid="{00000000-0005-0000-0000-000033000000}"/>
    <cellStyle name="60% - Акцент2 2" xfId="53" xr:uid="{00000000-0005-0000-0000-000034000000}"/>
    <cellStyle name="60% - Акцент2 3" xfId="54" xr:uid="{00000000-0005-0000-0000-000035000000}"/>
    <cellStyle name="60% - Акцент3 2" xfId="55" xr:uid="{00000000-0005-0000-0000-000036000000}"/>
    <cellStyle name="60% - Акцент3 3" xfId="56" xr:uid="{00000000-0005-0000-0000-000037000000}"/>
    <cellStyle name="60% - Акцент4 2" xfId="57" xr:uid="{00000000-0005-0000-0000-000038000000}"/>
    <cellStyle name="60% - Акцент4 3" xfId="58" xr:uid="{00000000-0005-0000-0000-000039000000}"/>
    <cellStyle name="60% - Акцент5 2" xfId="59" xr:uid="{00000000-0005-0000-0000-00003A000000}"/>
    <cellStyle name="60% - Акцент5 3" xfId="60" xr:uid="{00000000-0005-0000-0000-00003B000000}"/>
    <cellStyle name="60% - Акцент6 2" xfId="61" xr:uid="{00000000-0005-0000-0000-00003C000000}"/>
    <cellStyle name="60% - Акцент6 3" xfId="62" xr:uid="{00000000-0005-0000-0000-00003D000000}"/>
    <cellStyle name="Accent1" xfId="63" xr:uid="{00000000-0005-0000-0000-00003E000000}"/>
    <cellStyle name="Accent2" xfId="64" xr:uid="{00000000-0005-0000-0000-00003F000000}"/>
    <cellStyle name="Accent3" xfId="65" xr:uid="{00000000-0005-0000-0000-000040000000}"/>
    <cellStyle name="Accent4" xfId="66" xr:uid="{00000000-0005-0000-0000-000041000000}"/>
    <cellStyle name="Accent5" xfId="67" xr:uid="{00000000-0005-0000-0000-000042000000}"/>
    <cellStyle name="Accent6" xfId="68" xr:uid="{00000000-0005-0000-0000-000043000000}"/>
    <cellStyle name="Bad" xfId="69" xr:uid="{00000000-0005-0000-0000-000044000000}"/>
    <cellStyle name="Calculation" xfId="70" xr:uid="{00000000-0005-0000-0000-000045000000}"/>
    <cellStyle name="Check Cell" xfId="71" xr:uid="{00000000-0005-0000-0000-000046000000}"/>
    <cellStyle name="Column-Header" xfId="72" xr:uid="{00000000-0005-0000-0000-000047000000}"/>
    <cellStyle name="Column-Header 2" xfId="73" xr:uid="{00000000-0005-0000-0000-000048000000}"/>
    <cellStyle name="Column-Header 3" xfId="74" xr:uid="{00000000-0005-0000-0000-000049000000}"/>
    <cellStyle name="Column-Header 4" xfId="75" xr:uid="{00000000-0005-0000-0000-00004A000000}"/>
    <cellStyle name="Column-Header 5" xfId="76" xr:uid="{00000000-0005-0000-0000-00004B000000}"/>
    <cellStyle name="Column-Header 6" xfId="77" xr:uid="{00000000-0005-0000-0000-00004C000000}"/>
    <cellStyle name="Column-Header 7" xfId="78" xr:uid="{00000000-0005-0000-0000-00004D000000}"/>
    <cellStyle name="Column-Header 7 2" xfId="79" xr:uid="{00000000-0005-0000-0000-00004E000000}"/>
    <cellStyle name="Column-Header 8" xfId="80" xr:uid="{00000000-0005-0000-0000-00004F000000}"/>
    <cellStyle name="Column-Header 8 2" xfId="81" xr:uid="{00000000-0005-0000-0000-000050000000}"/>
    <cellStyle name="Column-Header 9" xfId="82" xr:uid="{00000000-0005-0000-0000-000051000000}"/>
    <cellStyle name="Column-Header 9 2" xfId="83" xr:uid="{00000000-0005-0000-0000-000052000000}"/>
    <cellStyle name="Column-Header_Zvit rux-koshtiv 2010 Департамент " xfId="84" xr:uid="{00000000-0005-0000-0000-000053000000}"/>
    <cellStyle name="Comma_2005_03_15-Финансовый_БГ" xfId="85" xr:uid="{00000000-0005-0000-0000-000054000000}"/>
    <cellStyle name="Define-Column" xfId="86" xr:uid="{00000000-0005-0000-0000-000055000000}"/>
    <cellStyle name="Define-Column 10" xfId="87" xr:uid="{00000000-0005-0000-0000-000056000000}"/>
    <cellStyle name="Define-Column 2" xfId="88" xr:uid="{00000000-0005-0000-0000-000057000000}"/>
    <cellStyle name="Define-Column 3" xfId="89" xr:uid="{00000000-0005-0000-0000-000058000000}"/>
    <cellStyle name="Define-Column 4" xfId="90" xr:uid="{00000000-0005-0000-0000-000059000000}"/>
    <cellStyle name="Define-Column 5" xfId="91" xr:uid="{00000000-0005-0000-0000-00005A000000}"/>
    <cellStyle name="Define-Column 6" xfId="92" xr:uid="{00000000-0005-0000-0000-00005B000000}"/>
    <cellStyle name="Define-Column 7" xfId="93" xr:uid="{00000000-0005-0000-0000-00005C000000}"/>
    <cellStyle name="Define-Column 7 2" xfId="94" xr:uid="{00000000-0005-0000-0000-00005D000000}"/>
    <cellStyle name="Define-Column 7 3" xfId="95" xr:uid="{00000000-0005-0000-0000-00005E000000}"/>
    <cellStyle name="Define-Column 8" xfId="96" xr:uid="{00000000-0005-0000-0000-00005F000000}"/>
    <cellStyle name="Define-Column 8 2" xfId="97" xr:uid="{00000000-0005-0000-0000-000060000000}"/>
    <cellStyle name="Define-Column 8 3" xfId="98" xr:uid="{00000000-0005-0000-0000-000061000000}"/>
    <cellStyle name="Define-Column 9" xfId="99" xr:uid="{00000000-0005-0000-0000-000062000000}"/>
    <cellStyle name="Define-Column 9 2" xfId="100" xr:uid="{00000000-0005-0000-0000-000063000000}"/>
    <cellStyle name="Define-Column 9 3" xfId="101" xr:uid="{00000000-0005-0000-0000-000064000000}"/>
    <cellStyle name="Define-Column_Zvit rux-koshtiv 2010 Департамент " xfId="102" xr:uid="{00000000-0005-0000-0000-000065000000}"/>
    <cellStyle name="Explanatory Text" xfId="103" xr:uid="{00000000-0005-0000-0000-000066000000}"/>
    <cellStyle name="FS10" xfId="104" xr:uid="{00000000-0005-0000-0000-000067000000}"/>
    <cellStyle name="Good" xfId="105" xr:uid="{00000000-0005-0000-0000-000068000000}"/>
    <cellStyle name="Heading 1" xfId="106" xr:uid="{00000000-0005-0000-0000-000069000000}"/>
    <cellStyle name="Heading 2" xfId="107" xr:uid="{00000000-0005-0000-0000-00006A000000}"/>
    <cellStyle name="Heading 3" xfId="108" xr:uid="{00000000-0005-0000-0000-00006B000000}"/>
    <cellStyle name="Heading 4" xfId="109" xr:uid="{00000000-0005-0000-0000-00006C000000}"/>
    <cellStyle name="Hyperlink 2" xfId="110" xr:uid="{00000000-0005-0000-0000-00006D000000}"/>
    <cellStyle name="Input" xfId="111" xr:uid="{00000000-0005-0000-0000-00006E000000}"/>
    <cellStyle name="Level0" xfId="112" xr:uid="{00000000-0005-0000-0000-00006F000000}"/>
    <cellStyle name="Level0 10" xfId="113" xr:uid="{00000000-0005-0000-0000-000070000000}"/>
    <cellStyle name="Level0 2" xfId="114" xr:uid="{00000000-0005-0000-0000-000071000000}"/>
    <cellStyle name="Level0 2 2" xfId="115" xr:uid="{00000000-0005-0000-0000-000072000000}"/>
    <cellStyle name="Level0 3" xfId="116" xr:uid="{00000000-0005-0000-0000-000073000000}"/>
    <cellStyle name="Level0 3 2" xfId="117" xr:uid="{00000000-0005-0000-0000-000074000000}"/>
    <cellStyle name="Level0 4" xfId="118" xr:uid="{00000000-0005-0000-0000-000075000000}"/>
    <cellStyle name="Level0 4 2" xfId="119" xr:uid="{00000000-0005-0000-0000-000076000000}"/>
    <cellStyle name="Level0 5" xfId="120" xr:uid="{00000000-0005-0000-0000-000077000000}"/>
    <cellStyle name="Level0 6" xfId="121" xr:uid="{00000000-0005-0000-0000-000078000000}"/>
    <cellStyle name="Level0 7" xfId="122" xr:uid="{00000000-0005-0000-0000-000079000000}"/>
    <cellStyle name="Level0 7 2" xfId="123" xr:uid="{00000000-0005-0000-0000-00007A000000}"/>
    <cellStyle name="Level0 7 3" xfId="124" xr:uid="{00000000-0005-0000-0000-00007B000000}"/>
    <cellStyle name="Level0 8" xfId="125" xr:uid="{00000000-0005-0000-0000-00007C000000}"/>
    <cellStyle name="Level0 8 2" xfId="126" xr:uid="{00000000-0005-0000-0000-00007D000000}"/>
    <cellStyle name="Level0 8 3" xfId="127" xr:uid="{00000000-0005-0000-0000-00007E000000}"/>
    <cellStyle name="Level0 9" xfId="128" xr:uid="{00000000-0005-0000-0000-00007F000000}"/>
    <cellStyle name="Level0 9 2" xfId="129" xr:uid="{00000000-0005-0000-0000-000080000000}"/>
    <cellStyle name="Level0 9 3" xfId="130" xr:uid="{00000000-0005-0000-0000-000081000000}"/>
    <cellStyle name="Level0_Zvit rux-koshtiv 2010 Департамент " xfId="131" xr:uid="{00000000-0005-0000-0000-000082000000}"/>
    <cellStyle name="Level1" xfId="132" xr:uid="{00000000-0005-0000-0000-000083000000}"/>
    <cellStyle name="Level1 2" xfId="133" xr:uid="{00000000-0005-0000-0000-000084000000}"/>
    <cellStyle name="Level1-Numbers" xfId="134" xr:uid="{00000000-0005-0000-0000-000085000000}"/>
    <cellStyle name="Level1-Numbers 2" xfId="135" xr:uid="{00000000-0005-0000-0000-000086000000}"/>
    <cellStyle name="Level1-Numbers-Hide" xfId="136" xr:uid="{00000000-0005-0000-0000-000087000000}"/>
    <cellStyle name="Level2" xfId="137" xr:uid="{00000000-0005-0000-0000-000088000000}"/>
    <cellStyle name="Level2 2" xfId="138" xr:uid="{00000000-0005-0000-0000-000089000000}"/>
    <cellStyle name="Level2-Hide" xfId="139" xr:uid="{00000000-0005-0000-0000-00008A000000}"/>
    <cellStyle name="Level2-Hide 2" xfId="140" xr:uid="{00000000-0005-0000-0000-00008B000000}"/>
    <cellStyle name="Level2-Numbers" xfId="141" xr:uid="{00000000-0005-0000-0000-00008C000000}"/>
    <cellStyle name="Level2-Numbers 2" xfId="142" xr:uid="{00000000-0005-0000-0000-00008D000000}"/>
    <cellStyle name="Level2-Numbers-Hide" xfId="143" xr:uid="{00000000-0005-0000-0000-00008E000000}"/>
    <cellStyle name="Level3" xfId="144" xr:uid="{00000000-0005-0000-0000-00008F000000}"/>
    <cellStyle name="Level3 2" xfId="145" xr:uid="{00000000-0005-0000-0000-000090000000}"/>
    <cellStyle name="Level3 3" xfId="146" xr:uid="{00000000-0005-0000-0000-000091000000}"/>
    <cellStyle name="Level3_План департамент_2010_1207" xfId="147" xr:uid="{00000000-0005-0000-0000-000092000000}"/>
    <cellStyle name="Level3-Hide" xfId="148" xr:uid="{00000000-0005-0000-0000-000093000000}"/>
    <cellStyle name="Level3-Hide 2" xfId="149" xr:uid="{00000000-0005-0000-0000-000094000000}"/>
    <cellStyle name="Level3-Numbers" xfId="150" xr:uid="{00000000-0005-0000-0000-000095000000}"/>
    <cellStyle name="Level3-Numbers 2" xfId="151" xr:uid="{00000000-0005-0000-0000-000096000000}"/>
    <cellStyle name="Level3-Numbers 3" xfId="152" xr:uid="{00000000-0005-0000-0000-000097000000}"/>
    <cellStyle name="Level3-Numbers_План департамент_2010_1207" xfId="153" xr:uid="{00000000-0005-0000-0000-000098000000}"/>
    <cellStyle name="Level3-Numbers-Hide" xfId="154" xr:uid="{00000000-0005-0000-0000-000099000000}"/>
    <cellStyle name="Level4" xfId="155" xr:uid="{00000000-0005-0000-0000-00009A000000}"/>
    <cellStyle name="Level4 2" xfId="156" xr:uid="{00000000-0005-0000-0000-00009B000000}"/>
    <cellStyle name="Level4-Hide" xfId="157" xr:uid="{00000000-0005-0000-0000-00009C000000}"/>
    <cellStyle name="Level4-Hide 2" xfId="158" xr:uid="{00000000-0005-0000-0000-00009D000000}"/>
    <cellStyle name="Level4-Numbers" xfId="159" xr:uid="{00000000-0005-0000-0000-00009E000000}"/>
    <cellStyle name="Level4-Numbers 2" xfId="160" xr:uid="{00000000-0005-0000-0000-00009F000000}"/>
    <cellStyle name="Level4-Numbers-Hide" xfId="161" xr:uid="{00000000-0005-0000-0000-0000A0000000}"/>
    <cellStyle name="Level5" xfId="162" xr:uid="{00000000-0005-0000-0000-0000A1000000}"/>
    <cellStyle name="Level5 2" xfId="163" xr:uid="{00000000-0005-0000-0000-0000A2000000}"/>
    <cellStyle name="Level5-Hide" xfId="164" xr:uid="{00000000-0005-0000-0000-0000A3000000}"/>
    <cellStyle name="Level5-Hide 2" xfId="165" xr:uid="{00000000-0005-0000-0000-0000A4000000}"/>
    <cellStyle name="Level5-Numbers" xfId="166" xr:uid="{00000000-0005-0000-0000-0000A5000000}"/>
    <cellStyle name="Level5-Numbers 2" xfId="167" xr:uid="{00000000-0005-0000-0000-0000A6000000}"/>
    <cellStyle name="Level5-Numbers-Hide" xfId="168" xr:uid="{00000000-0005-0000-0000-0000A7000000}"/>
    <cellStyle name="Level6" xfId="169" xr:uid="{00000000-0005-0000-0000-0000A8000000}"/>
    <cellStyle name="Level6 2" xfId="170" xr:uid="{00000000-0005-0000-0000-0000A9000000}"/>
    <cellStyle name="Level6-Hide" xfId="171" xr:uid="{00000000-0005-0000-0000-0000AA000000}"/>
    <cellStyle name="Level6-Hide 2" xfId="172" xr:uid="{00000000-0005-0000-0000-0000AB000000}"/>
    <cellStyle name="Level6-Numbers" xfId="173" xr:uid="{00000000-0005-0000-0000-0000AC000000}"/>
    <cellStyle name="Level6-Numbers 2" xfId="174" xr:uid="{00000000-0005-0000-0000-0000AD000000}"/>
    <cellStyle name="Level7" xfId="175" xr:uid="{00000000-0005-0000-0000-0000AE000000}"/>
    <cellStyle name="Level7-Hide" xfId="176" xr:uid="{00000000-0005-0000-0000-0000AF000000}"/>
    <cellStyle name="Level7-Numbers" xfId="177" xr:uid="{00000000-0005-0000-0000-0000B0000000}"/>
    <cellStyle name="Linked Cell" xfId="178" xr:uid="{00000000-0005-0000-0000-0000B1000000}"/>
    <cellStyle name="Neutral" xfId="179" xr:uid="{00000000-0005-0000-0000-0000B2000000}"/>
    <cellStyle name="Normal 2" xfId="180" xr:uid="{00000000-0005-0000-0000-0000B3000000}"/>
    <cellStyle name="Normal_2005_03_15-Финансовый_БГ" xfId="181" xr:uid="{00000000-0005-0000-0000-0000B4000000}"/>
    <cellStyle name="Normal_GSE DCF_Model_31_07_09 final" xfId="182" xr:uid="{00000000-0005-0000-0000-0000B5000000}"/>
    <cellStyle name="Note" xfId="183" xr:uid="{00000000-0005-0000-0000-0000B6000000}"/>
    <cellStyle name="Number-Cells" xfId="184" xr:uid="{00000000-0005-0000-0000-0000B7000000}"/>
    <cellStyle name="Number-Cells-Column2" xfId="185" xr:uid="{00000000-0005-0000-0000-0000B8000000}"/>
    <cellStyle name="Number-Cells-Column5" xfId="186" xr:uid="{00000000-0005-0000-0000-0000B9000000}"/>
    <cellStyle name="Output" xfId="187" xr:uid="{00000000-0005-0000-0000-0000BA000000}"/>
    <cellStyle name="Row-Header" xfId="188" xr:uid="{00000000-0005-0000-0000-0000BB000000}"/>
    <cellStyle name="Row-Header 2" xfId="189" xr:uid="{00000000-0005-0000-0000-0000BC000000}"/>
    <cellStyle name="Title" xfId="190" xr:uid="{00000000-0005-0000-0000-0000BD000000}"/>
    <cellStyle name="Total" xfId="191" xr:uid="{00000000-0005-0000-0000-0000BE000000}"/>
    <cellStyle name="Warning Text" xfId="192" xr:uid="{00000000-0005-0000-0000-0000BF000000}"/>
    <cellStyle name="Акцент1 2" xfId="193" xr:uid="{00000000-0005-0000-0000-0000C0000000}"/>
    <cellStyle name="Акцент1 3" xfId="194" xr:uid="{00000000-0005-0000-0000-0000C1000000}"/>
    <cellStyle name="Акцент2 2" xfId="195" xr:uid="{00000000-0005-0000-0000-0000C2000000}"/>
    <cellStyle name="Акцент2 3" xfId="196" xr:uid="{00000000-0005-0000-0000-0000C3000000}"/>
    <cellStyle name="Акцент3 2" xfId="197" xr:uid="{00000000-0005-0000-0000-0000C4000000}"/>
    <cellStyle name="Акцент3 3" xfId="198" xr:uid="{00000000-0005-0000-0000-0000C5000000}"/>
    <cellStyle name="Акцент4 2" xfId="199" xr:uid="{00000000-0005-0000-0000-0000C6000000}"/>
    <cellStyle name="Акцент4 3" xfId="200" xr:uid="{00000000-0005-0000-0000-0000C7000000}"/>
    <cellStyle name="Акцент5 2" xfId="201" xr:uid="{00000000-0005-0000-0000-0000C8000000}"/>
    <cellStyle name="Акцент5 3" xfId="202" xr:uid="{00000000-0005-0000-0000-0000C9000000}"/>
    <cellStyle name="Акцент6 2" xfId="203" xr:uid="{00000000-0005-0000-0000-0000CA000000}"/>
    <cellStyle name="Акцент6 3" xfId="204" xr:uid="{00000000-0005-0000-0000-0000CB000000}"/>
    <cellStyle name="Ввод  2" xfId="205" xr:uid="{00000000-0005-0000-0000-0000CC000000}"/>
    <cellStyle name="Ввод  3" xfId="206" xr:uid="{00000000-0005-0000-0000-0000CD000000}"/>
    <cellStyle name="Вывод 2" xfId="207" xr:uid="{00000000-0005-0000-0000-0000CE000000}"/>
    <cellStyle name="Вывод 3" xfId="208" xr:uid="{00000000-0005-0000-0000-0000CF000000}"/>
    <cellStyle name="Вычисление 2" xfId="209" xr:uid="{00000000-0005-0000-0000-0000D0000000}"/>
    <cellStyle name="Вычисление 3" xfId="210" xr:uid="{00000000-0005-0000-0000-0000D1000000}"/>
    <cellStyle name="Денежный 2" xfId="211" xr:uid="{00000000-0005-0000-0000-0000D2000000}"/>
    <cellStyle name="Заголовок 1 2" xfId="212" xr:uid="{00000000-0005-0000-0000-0000D3000000}"/>
    <cellStyle name="Заголовок 1 3" xfId="213" xr:uid="{00000000-0005-0000-0000-0000D4000000}"/>
    <cellStyle name="Заголовок 2 2" xfId="214" xr:uid="{00000000-0005-0000-0000-0000D5000000}"/>
    <cellStyle name="Заголовок 2 3" xfId="215" xr:uid="{00000000-0005-0000-0000-0000D6000000}"/>
    <cellStyle name="Заголовок 3 2" xfId="216" xr:uid="{00000000-0005-0000-0000-0000D7000000}"/>
    <cellStyle name="Заголовок 3 3" xfId="217" xr:uid="{00000000-0005-0000-0000-0000D8000000}"/>
    <cellStyle name="Заголовок 4 2" xfId="218" xr:uid="{00000000-0005-0000-0000-0000D9000000}"/>
    <cellStyle name="Заголовок 4 3" xfId="219" xr:uid="{00000000-0005-0000-0000-0000DA000000}"/>
    <cellStyle name="Звичайний" xfId="0" builtinId="0"/>
    <cellStyle name="Итог 2" xfId="220" xr:uid="{00000000-0005-0000-0000-0000DB000000}"/>
    <cellStyle name="Итог 3" xfId="221" xr:uid="{00000000-0005-0000-0000-0000DC000000}"/>
    <cellStyle name="Контрольная ячейка 2" xfId="222" xr:uid="{00000000-0005-0000-0000-0000DD000000}"/>
    <cellStyle name="Контрольная ячейка 3" xfId="223" xr:uid="{00000000-0005-0000-0000-0000DE000000}"/>
    <cellStyle name="Название 2" xfId="224" xr:uid="{00000000-0005-0000-0000-0000DF000000}"/>
    <cellStyle name="Название 3" xfId="225" xr:uid="{00000000-0005-0000-0000-0000E0000000}"/>
    <cellStyle name="Нейтральный 2" xfId="226" xr:uid="{00000000-0005-0000-0000-0000E1000000}"/>
    <cellStyle name="Нейтральный 3" xfId="227" xr:uid="{00000000-0005-0000-0000-0000E2000000}"/>
    <cellStyle name="Обычный 10" xfId="228" xr:uid="{00000000-0005-0000-0000-0000E4000000}"/>
    <cellStyle name="Обычный 11" xfId="229" xr:uid="{00000000-0005-0000-0000-0000E5000000}"/>
    <cellStyle name="Обычный 12" xfId="230" xr:uid="{00000000-0005-0000-0000-0000E6000000}"/>
    <cellStyle name="Обычный 13" xfId="231" xr:uid="{00000000-0005-0000-0000-0000E7000000}"/>
    <cellStyle name="Обычный 14" xfId="232" xr:uid="{00000000-0005-0000-0000-0000E8000000}"/>
    <cellStyle name="Обычный 15" xfId="233" xr:uid="{00000000-0005-0000-0000-0000E9000000}"/>
    <cellStyle name="Обычный 16" xfId="234" xr:uid="{00000000-0005-0000-0000-0000EA000000}"/>
    <cellStyle name="Обычный 17" xfId="235" xr:uid="{00000000-0005-0000-0000-0000EB000000}"/>
    <cellStyle name="Обычный 18" xfId="236" xr:uid="{00000000-0005-0000-0000-0000EC000000}"/>
    <cellStyle name="Обычный 2" xfId="237" xr:uid="{00000000-0005-0000-0000-0000ED000000}"/>
    <cellStyle name="Обычный 2 10" xfId="238" xr:uid="{00000000-0005-0000-0000-0000EE000000}"/>
    <cellStyle name="Обычный 2 11" xfId="239" xr:uid="{00000000-0005-0000-0000-0000EF000000}"/>
    <cellStyle name="Обычный 2 12" xfId="240" xr:uid="{00000000-0005-0000-0000-0000F0000000}"/>
    <cellStyle name="Обычный 2 13" xfId="241" xr:uid="{00000000-0005-0000-0000-0000F1000000}"/>
    <cellStyle name="Обычный 2 14" xfId="242" xr:uid="{00000000-0005-0000-0000-0000F2000000}"/>
    <cellStyle name="Обычный 2 15" xfId="243" xr:uid="{00000000-0005-0000-0000-0000F3000000}"/>
    <cellStyle name="Обычный 2 16" xfId="244" xr:uid="{00000000-0005-0000-0000-0000F4000000}"/>
    <cellStyle name="Обычный 2 2" xfId="245" xr:uid="{00000000-0005-0000-0000-0000F5000000}"/>
    <cellStyle name="Обычный 2 2 2" xfId="246" xr:uid="{00000000-0005-0000-0000-0000F6000000}"/>
    <cellStyle name="Обычный 2 2 3" xfId="247" xr:uid="{00000000-0005-0000-0000-0000F7000000}"/>
    <cellStyle name="Обычный 2 2_Расшифровка прочих" xfId="248" xr:uid="{00000000-0005-0000-0000-0000F8000000}"/>
    <cellStyle name="Обычный 2 3" xfId="249" xr:uid="{00000000-0005-0000-0000-0000F9000000}"/>
    <cellStyle name="Обычный 2 4" xfId="250" xr:uid="{00000000-0005-0000-0000-0000FA000000}"/>
    <cellStyle name="Обычный 2 5" xfId="251" xr:uid="{00000000-0005-0000-0000-0000FB000000}"/>
    <cellStyle name="Обычный 2 6" xfId="252" xr:uid="{00000000-0005-0000-0000-0000FC000000}"/>
    <cellStyle name="Обычный 2 7" xfId="253" xr:uid="{00000000-0005-0000-0000-0000FD000000}"/>
    <cellStyle name="Обычный 2 8" xfId="254" xr:uid="{00000000-0005-0000-0000-0000FE000000}"/>
    <cellStyle name="Обычный 2 9" xfId="255" xr:uid="{00000000-0005-0000-0000-0000FF000000}"/>
    <cellStyle name="Обычный 2_2604-2010" xfId="256" xr:uid="{00000000-0005-0000-0000-000000010000}"/>
    <cellStyle name="Обычный 3" xfId="257" xr:uid="{00000000-0005-0000-0000-000001010000}"/>
    <cellStyle name="Обычный 3 10" xfId="258" xr:uid="{00000000-0005-0000-0000-000002010000}"/>
    <cellStyle name="Обычный 3 11" xfId="259" xr:uid="{00000000-0005-0000-0000-000003010000}"/>
    <cellStyle name="Обычный 3 12" xfId="260" xr:uid="{00000000-0005-0000-0000-000004010000}"/>
    <cellStyle name="Обычный 3 13" xfId="261" xr:uid="{00000000-0005-0000-0000-000005010000}"/>
    <cellStyle name="Обычный 3 14" xfId="262" xr:uid="{00000000-0005-0000-0000-000006010000}"/>
    <cellStyle name="Обычный 3 2" xfId="263" xr:uid="{00000000-0005-0000-0000-000007010000}"/>
    <cellStyle name="Обычный 3 3" xfId="264" xr:uid="{00000000-0005-0000-0000-000008010000}"/>
    <cellStyle name="Обычный 3 4" xfId="265" xr:uid="{00000000-0005-0000-0000-000009010000}"/>
    <cellStyle name="Обычный 3 5" xfId="266" xr:uid="{00000000-0005-0000-0000-00000A010000}"/>
    <cellStyle name="Обычный 3 6" xfId="267" xr:uid="{00000000-0005-0000-0000-00000B010000}"/>
    <cellStyle name="Обычный 3 7" xfId="268" xr:uid="{00000000-0005-0000-0000-00000C010000}"/>
    <cellStyle name="Обычный 3 8" xfId="269" xr:uid="{00000000-0005-0000-0000-00000D010000}"/>
    <cellStyle name="Обычный 3 9" xfId="270" xr:uid="{00000000-0005-0000-0000-00000E010000}"/>
    <cellStyle name="Обычный 3_Дефицит_7 млрд_0608_бс" xfId="271" xr:uid="{00000000-0005-0000-0000-00000F010000}"/>
    <cellStyle name="Обычный 4" xfId="272" xr:uid="{00000000-0005-0000-0000-000010010000}"/>
    <cellStyle name="Обычный 5" xfId="273" xr:uid="{00000000-0005-0000-0000-000011010000}"/>
    <cellStyle name="Обычный 5 2" xfId="274" xr:uid="{00000000-0005-0000-0000-000012010000}"/>
    <cellStyle name="Обычный 6" xfId="275" xr:uid="{00000000-0005-0000-0000-000013010000}"/>
    <cellStyle name="Обычный 6 2" xfId="276" xr:uid="{00000000-0005-0000-0000-000014010000}"/>
    <cellStyle name="Обычный 6 3" xfId="277" xr:uid="{00000000-0005-0000-0000-000015010000}"/>
    <cellStyle name="Обычный 6 4" xfId="278" xr:uid="{00000000-0005-0000-0000-000016010000}"/>
    <cellStyle name="Обычный 6_Дефицит_7 млрд_0608_бс" xfId="279" xr:uid="{00000000-0005-0000-0000-000017010000}"/>
    <cellStyle name="Обычный 7" xfId="280" xr:uid="{00000000-0005-0000-0000-000018010000}"/>
    <cellStyle name="Обычный 7 2" xfId="281" xr:uid="{00000000-0005-0000-0000-000019010000}"/>
    <cellStyle name="Обычный 8" xfId="282" xr:uid="{00000000-0005-0000-0000-00001A010000}"/>
    <cellStyle name="Обычный 9" xfId="283" xr:uid="{00000000-0005-0000-0000-00001B010000}"/>
    <cellStyle name="Обычный 9 2" xfId="284" xr:uid="{00000000-0005-0000-0000-00001C010000}"/>
    <cellStyle name="Обычный_1139" xfId="353" xr:uid="{00000000-0005-0000-0000-00001D010000}"/>
    <cellStyle name="Плохой 2" xfId="285" xr:uid="{00000000-0005-0000-0000-00001E010000}"/>
    <cellStyle name="Плохой 3" xfId="286" xr:uid="{00000000-0005-0000-0000-00001F010000}"/>
    <cellStyle name="Пояснение 2" xfId="287" xr:uid="{00000000-0005-0000-0000-000020010000}"/>
    <cellStyle name="Пояснение 3" xfId="288" xr:uid="{00000000-0005-0000-0000-000021010000}"/>
    <cellStyle name="Примечание 2" xfId="289" xr:uid="{00000000-0005-0000-0000-000022010000}"/>
    <cellStyle name="Примечание 3" xfId="290" xr:uid="{00000000-0005-0000-0000-000023010000}"/>
    <cellStyle name="Процентный 2" xfId="291" xr:uid="{00000000-0005-0000-0000-000024010000}"/>
    <cellStyle name="Процентный 2 10" xfId="292" xr:uid="{00000000-0005-0000-0000-000025010000}"/>
    <cellStyle name="Процентный 2 11" xfId="293" xr:uid="{00000000-0005-0000-0000-000026010000}"/>
    <cellStyle name="Процентный 2 12" xfId="294" xr:uid="{00000000-0005-0000-0000-000027010000}"/>
    <cellStyle name="Процентный 2 13" xfId="295" xr:uid="{00000000-0005-0000-0000-000028010000}"/>
    <cellStyle name="Процентный 2 14" xfId="296" xr:uid="{00000000-0005-0000-0000-000029010000}"/>
    <cellStyle name="Процентный 2 15" xfId="297" xr:uid="{00000000-0005-0000-0000-00002A010000}"/>
    <cellStyle name="Процентный 2 16" xfId="298" xr:uid="{00000000-0005-0000-0000-00002B010000}"/>
    <cellStyle name="Процентный 2 2" xfId="299" xr:uid="{00000000-0005-0000-0000-00002C010000}"/>
    <cellStyle name="Процентный 2 3" xfId="300" xr:uid="{00000000-0005-0000-0000-00002D010000}"/>
    <cellStyle name="Процентный 2 4" xfId="301" xr:uid="{00000000-0005-0000-0000-00002E010000}"/>
    <cellStyle name="Процентный 2 5" xfId="302" xr:uid="{00000000-0005-0000-0000-00002F010000}"/>
    <cellStyle name="Процентный 2 6" xfId="303" xr:uid="{00000000-0005-0000-0000-000030010000}"/>
    <cellStyle name="Процентный 2 7" xfId="304" xr:uid="{00000000-0005-0000-0000-000031010000}"/>
    <cellStyle name="Процентный 2 8" xfId="305" xr:uid="{00000000-0005-0000-0000-000032010000}"/>
    <cellStyle name="Процентный 2 9" xfId="306" xr:uid="{00000000-0005-0000-0000-000033010000}"/>
    <cellStyle name="Процентный 3" xfId="307" xr:uid="{00000000-0005-0000-0000-000034010000}"/>
    <cellStyle name="Процентный 4" xfId="308" xr:uid="{00000000-0005-0000-0000-000035010000}"/>
    <cellStyle name="Процентный 4 2" xfId="309" xr:uid="{00000000-0005-0000-0000-000036010000}"/>
    <cellStyle name="Связанная ячейка 2" xfId="310" xr:uid="{00000000-0005-0000-0000-000037010000}"/>
    <cellStyle name="Связанная ячейка 3" xfId="311" xr:uid="{00000000-0005-0000-0000-000038010000}"/>
    <cellStyle name="Стиль 1" xfId="312" xr:uid="{00000000-0005-0000-0000-000039010000}"/>
    <cellStyle name="Стиль 1 2" xfId="313" xr:uid="{00000000-0005-0000-0000-00003A010000}"/>
    <cellStyle name="Стиль 1 3" xfId="314" xr:uid="{00000000-0005-0000-0000-00003B010000}"/>
    <cellStyle name="Стиль 1 4" xfId="315" xr:uid="{00000000-0005-0000-0000-00003C010000}"/>
    <cellStyle name="Стиль 1 5" xfId="316" xr:uid="{00000000-0005-0000-0000-00003D010000}"/>
    <cellStyle name="Стиль 1 6" xfId="317" xr:uid="{00000000-0005-0000-0000-00003E010000}"/>
    <cellStyle name="Стиль 1 7" xfId="318" xr:uid="{00000000-0005-0000-0000-00003F010000}"/>
    <cellStyle name="Текст предупреждения 2" xfId="319" xr:uid="{00000000-0005-0000-0000-000040010000}"/>
    <cellStyle name="Текст предупреждения 3" xfId="320" xr:uid="{00000000-0005-0000-0000-000041010000}"/>
    <cellStyle name="Тысячи [0]_1.62" xfId="321" xr:uid="{00000000-0005-0000-0000-000042010000}"/>
    <cellStyle name="Тысячи_1.62" xfId="322" xr:uid="{00000000-0005-0000-0000-000043010000}"/>
    <cellStyle name="Финансовый 2" xfId="323" xr:uid="{00000000-0005-0000-0000-000044010000}"/>
    <cellStyle name="Финансовый 2 10" xfId="324" xr:uid="{00000000-0005-0000-0000-000045010000}"/>
    <cellStyle name="Финансовый 2 11" xfId="325" xr:uid="{00000000-0005-0000-0000-000046010000}"/>
    <cellStyle name="Финансовый 2 12" xfId="326" xr:uid="{00000000-0005-0000-0000-000047010000}"/>
    <cellStyle name="Финансовый 2 13" xfId="327" xr:uid="{00000000-0005-0000-0000-000048010000}"/>
    <cellStyle name="Финансовый 2 14" xfId="328" xr:uid="{00000000-0005-0000-0000-000049010000}"/>
    <cellStyle name="Финансовый 2 15" xfId="329" xr:uid="{00000000-0005-0000-0000-00004A010000}"/>
    <cellStyle name="Финансовый 2 16" xfId="330" xr:uid="{00000000-0005-0000-0000-00004B010000}"/>
    <cellStyle name="Финансовый 2 17" xfId="331" xr:uid="{00000000-0005-0000-0000-00004C010000}"/>
    <cellStyle name="Финансовый 2 2" xfId="332" xr:uid="{00000000-0005-0000-0000-00004D010000}"/>
    <cellStyle name="Финансовый 2 3" xfId="333" xr:uid="{00000000-0005-0000-0000-00004E010000}"/>
    <cellStyle name="Финансовый 2 4" xfId="334" xr:uid="{00000000-0005-0000-0000-00004F010000}"/>
    <cellStyle name="Финансовый 2 5" xfId="335" xr:uid="{00000000-0005-0000-0000-000050010000}"/>
    <cellStyle name="Финансовый 2 6" xfId="336" xr:uid="{00000000-0005-0000-0000-000051010000}"/>
    <cellStyle name="Финансовый 2 7" xfId="337" xr:uid="{00000000-0005-0000-0000-000052010000}"/>
    <cellStyle name="Финансовый 2 8" xfId="338" xr:uid="{00000000-0005-0000-0000-000053010000}"/>
    <cellStyle name="Финансовый 2 9" xfId="339" xr:uid="{00000000-0005-0000-0000-000054010000}"/>
    <cellStyle name="Финансовый 3" xfId="340" xr:uid="{00000000-0005-0000-0000-000055010000}"/>
    <cellStyle name="Финансовый 3 2" xfId="341" xr:uid="{00000000-0005-0000-0000-000056010000}"/>
    <cellStyle name="Финансовый 4" xfId="342" xr:uid="{00000000-0005-0000-0000-000057010000}"/>
    <cellStyle name="Финансовый 4 2" xfId="343" xr:uid="{00000000-0005-0000-0000-000058010000}"/>
    <cellStyle name="Финансовый 4 3" xfId="344" xr:uid="{00000000-0005-0000-0000-000059010000}"/>
    <cellStyle name="Финансовый 5" xfId="345" xr:uid="{00000000-0005-0000-0000-00005A010000}"/>
    <cellStyle name="Финансовый 6" xfId="346" xr:uid="{00000000-0005-0000-0000-00005B010000}"/>
    <cellStyle name="Финансовый 7" xfId="347" xr:uid="{00000000-0005-0000-0000-00005C010000}"/>
    <cellStyle name="Хороший 2" xfId="348" xr:uid="{00000000-0005-0000-0000-00005D010000}"/>
    <cellStyle name="Хороший 3" xfId="349" xr:uid="{00000000-0005-0000-0000-00005E010000}"/>
    <cellStyle name="числовой" xfId="350" xr:uid="{00000000-0005-0000-0000-00005F010000}"/>
    <cellStyle name="Ю" xfId="351" xr:uid="{00000000-0005-0000-0000-000060010000}"/>
    <cellStyle name="Ю-FreeSet_10" xfId="352" xr:uid="{00000000-0005-0000-0000-000061010000}"/>
  </cellStyles>
  <dxfs count="0"/>
  <tableStyles count="0" defaultTableStyle="TableStyleMedium2" defaultPivotStyle="PivotStyleLight16"/>
  <colors>
    <mruColors>
      <color rgb="FFFFFFCC"/>
      <color rgb="FFFF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sharedStrings" Target="sharedStrings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  <sheetName val="Лист2"/>
      <sheetName val="ПЛАН ЗАКУПІВЕЛЬ 2018"/>
      <sheetName val="Аркуш2"/>
      <sheetName val="MPPZ"/>
      <sheetName val="адмін_(2)"/>
      <sheetName val="9m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/>
      <sheetData sheetId="11" refreshError="1"/>
      <sheetData sheetId="12" refreshError="1"/>
      <sheetData sheetId="13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зведена_таб"/>
      <sheetName val="попер_роз_(4)"/>
      <sheetName val="звед_оптим_(2)"/>
      <sheetName val="2002"/>
      <sheetName val="2001"/>
      <sheetName val="Ener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попер_роз"/>
      <sheetName val="база  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  <sheetName val="база  "/>
      <sheetName val="Links"/>
      <sheetName val="Lead"/>
      <sheetName val="МТР_Газ_Україн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МТР_Газ_України"/>
    </sheetNames>
    <sheetDataSet>
      <sheetData sheetId="0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  <sheetName val="Inform"/>
      <sheetName val="7  Інші витрати"/>
      <sheetName val="МТР_Газ_Україн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BGVN1"/>
      <sheetName val="Technical"/>
      <sheetName val="БАЗА  "/>
      <sheetName val="МТР Газ України"/>
      <sheetName val="Daten"/>
      <sheetName val="Detail"/>
      <sheetName val="Annual Tables"/>
      <sheetName val="Index"/>
      <sheetName val="Annual Raw Data"/>
      <sheetName val="Quarterly Raw Data"/>
      <sheetName val="Quarterly 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i"/>
      <sheetName val="Setup"/>
      <sheetName val="200"/>
      <sheetName val="1993"/>
      <sheetName val="Inform"/>
      <sheetName val="Ener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gdp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  <sheetName val="база  "/>
      <sheetName val="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  <sheetName val="Inform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  <sheetName val="попер_роз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  <sheetName val="gdp"/>
      <sheetName val="1993"/>
      <sheetName val="Додаток 3"/>
      <sheetName val="En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Ener "/>
      <sheetName val="Припущення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  <sheetName val="BGVN1"/>
      <sheetName val="д17-1"/>
      <sheetName val="БАЗА__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Правила ДДС"/>
      <sheetName val="7  інші витрати"/>
      <sheetName val="п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f-20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  <sheetName val="7  Інші витрати"/>
      <sheetName val="попер_роз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  <sheetName val="gdp"/>
      <sheetName val="до викупа"/>
      <sheetName val="Лист1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  <sheetName val="7  інші витрати"/>
      <sheetName val="МТР Газ України"/>
      <sheetName val="Note2 to do "/>
      <sheetName val="4сд"/>
      <sheetName val="2сд"/>
      <sheetName val="7сд"/>
      <sheetName val="1993"/>
      <sheetName val="Лист2"/>
      <sheetName val="припущення"/>
      <sheetName val="т17мб(шаблон)"/>
      <sheetName val="реестр_заявок1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  <sheetName val="Inform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  <sheetName val="7  інші витрат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  <sheetName val="7  інші витрати"/>
      <sheetName val="Ener "/>
      <sheetName val="gdp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  <sheetName val="7  інші витрат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  <sheetName val="7  інші витрати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_Структура по елементах"/>
      <sheetName val="Тит стор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A1:O249"/>
  <sheetViews>
    <sheetView tabSelected="1" view="pageBreakPreview" topLeftCell="A64" zoomScale="75" zoomScaleNormal="75" zoomScaleSheetLayoutView="75" workbookViewId="0">
      <selection activeCell="F75" sqref="F75"/>
    </sheetView>
  </sheetViews>
  <sheetFormatPr defaultRowHeight="20.25"/>
  <cols>
    <col min="1" max="1" width="58.42578125" style="1" customWidth="1"/>
    <col min="2" max="2" width="11.140625" style="60" customWidth="1"/>
    <col min="3" max="3" width="16.140625" style="60" customWidth="1"/>
    <col min="4" max="4" width="17.7109375" style="60" customWidth="1"/>
    <col min="5" max="5" width="16.140625" style="210" customWidth="1"/>
    <col min="6" max="6" width="16" style="1" customWidth="1"/>
    <col min="7" max="7" width="18.140625" style="1" customWidth="1"/>
    <col min="8" max="8" width="17.42578125" style="1" customWidth="1"/>
    <col min="9" max="10" width="16.7109375" style="1" customWidth="1"/>
    <col min="11" max="11" width="20.28515625" style="1" customWidth="1"/>
    <col min="12" max="12" width="19.140625" style="1" customWidth="1"/>
    <col min="13" max="13" width="17.42578125" style="1" customWidth="1"/>
    <col min="14" max="14" width="15.85546875" style="1" customWidth="1"/>
    <col min="15" max="16384" width="9.140625" style="1"/>
  </cols>
  <sheetData>
    <row r="1" spans="1:12" ht="93.75" customHeight="1">
      <c r="A1" s="265" t="s">
        <v>329</v>
      </c>
      <c r="B1" s="266"/>
      <c r="C1" s="266"/>
      <c r="D1" s="266"/>
      <c r="E1" s="266"/>
      <c r="F1" s="266"/>
      <c r="G1" s="266"/>
      <c r="H1" s="266"/>
    </row>
    <row r="2" spans="1:12" ht="24" customHeight="1">
      <c r="A2" s="264" t="s">
        <v>15</v>
      </c>
      <c r="B2" s="264"/>
      <c r="C2" s="264"/>
      <c r="D2" s="264"/>
      <c r="E2" s="264"/>
      <c r="F2" s="264"/>
      <c r="G2" s="264"/>
      <c r="H2" s="264"/>
    </row>
    <row r="3" spans="1:12" s="101" customFormat="1" ht="16.5" customHeight="1">
      <c r="A3" s="64"/>
      <c r="B3" s="65"/>
      <c r="C3" s="187"/>
      <c r="D3" s="65"/>
      <c r="E3" s="65"/>
      <c r="F3" s="65"/>
      <c r="G3" s="65"/>
      <c r="H3" s="66" t="s">
        <v>51</v>
      </c>
    </row>
    <row r="4" spans="1:12" ht="60.75" customHeight="1">
      <c r="A4" s="271" t="s">
        <v>20</v>
      </c>
      <c r="B4" s="272" t="s">
        <v>4</v>
      </c>
      <c r="C4" s="272" t="s">
        <v>102</v>
      </c>
      <c r="D4" s="272"/>
      <c r="E4" s="271" t="s">
        <v>332</v>
      </c>
      <c r="F4" s="271"/>
      <c r="G4" s="271"/>
      <c r="H4" s="271"/>
    </row>
    <row r="5" spans="1:12" ht="46.5" customHeight="1">
      <c r="A5" s="271"/>
      <c r="B5" s="272"/>
      <c r="C5" s="9" t="s">
        <v>330</v>
      </c>
      <c r="D5" s="9" t="s">
        <v>331</v>
      </c>
      <c r="E5" s="67" t="s">
        <v>153</v>
      </c>
      <c r="F5" s="67" t="s">
        <v>91</v>
      </c>
      <c r="G5" s="67" t="s">
        <v>92</v>
      </c>
      <c r="H5" s="67" t="s">
        <v>93</v>
      </c>
    </row>
    <row r="6" spans="1:12" s="101" customFormat="1" ht="21" customHeight="1">
      <c r="A6" s="62">
        <v>1</v>
      </c>
      <c r="B6" s="17">
        <v>2</v>
      </c>
      <c r="C6" s="17">
        <v>3</v>
      </c>
      <c r="D6" s="17">
        <v>4</v>
      </c>
      <c r="E6" s="17">
        <v>5</v>
      </c>
      <c r="F6" s="17">
        <v>6</v>
      </c>
      <c r="G6" s="17">
        <v>7</v>
      </c>
      <c r="H6" s="17">
        <v>8</v>
      </c>
    </row>
    <row r="7" spans="1:12" ht="23.25" customHeight="1">
      <c r="A7" s="273" t="s">
        <v>80</v>
      </c>
      <c r="B7" s="273"/>
      <c r="C7" s="273"/>
      <c r="D7" s="273"/>
      <c r="E7" s="273"/>
      <c r="F7" s="273"/>
      <c r="G7" s="273"/>
      <c r="H7" s="273"/>
    </row>
    <row r="8" spans="1:12" ht="42" customHeight="1">
      <c r="A8" s="68" t="s">
        <v>219</v>
      </c>
      <c r="B8" s="69">
        <v>1000</v>
      </c>
      <c r="C8" s="46">
        <v>145461.20000000001</v>
      </c>
      <c r="D8" s="46">
        <v>181876.4</v>
      </c>
      <c r="E8" s="231">
        <v>163812.6</v>
      </c>
      <c r="F8" s="46">
        <v>181876.4</v>
      </c>
      <c r="G8" s="70">
        <f>F8-E8</f>
        <v>18063.799999999988</v>
      </c>
      <c r="H8" s="70">
        <f>(F8/E8)*100</f>
        <v>111.02711268852335</v>
      </c>
      <c r="K8" s="34"/>
    </row>
    <row r="9" spans="1:12" ht="63.75" customHeight="1">
      <c r="A9" s="68" t="s">
        <v>60</v>
      </c>
      <c r="B9" s="69">
        <v>1010</v>
      </c>
      <c r="C9" s="70">
        <f t="shared" ref="C9" si="0">SUM(C10:C14)</f>
        <v>-156953.5</v>
      </c>
      <c r="D9" s="70">
        <f>SUM(D10:D14)</f>
        <v>-177682.5</v>
      </c>
      <c r="E9" s="46">
        <f>SUM(E10:E14)</f>
        <v>-173089.90000000002</v>
      </c>
      <c r="F9" s="70">
        <f>SUM(F10:F14)</f>
        <v>-177682.5</v>
      </c>
      <c r="G9" s="70">
        <f t="shared" ref="G9:G43" si="1">F9-E9</f>
        <v>-4592.5999999999767</v>
      </c>
      <c r="H9" s="70">
        <f t="shared" ref="H9:H43" si="2">(F9/E9)*100</f>
        <v>102.65330328343825</v>
      </c>
      <c r="K9" s="55"/>
    </row>
    <row r="10" spans="1:12" ht="24.75" customHeight="1">
      <c r="A10" s="71" t="s">
        <v>61</v>
      </c>
      <c r="B10" s="218">
        <v>1011</v>
      </c>
      <c r="C10" s="22">
        <v>-52219.7</v>
      </c>
      <c r="D10" s="22">
        <v>-62393.3</v>
      </c>
      <c r="E10" s="22">
        <v>-61000.3</v>
      </c>
      <c r="F10" s="22">
        <v>-62393.3</v>
      </c>
      <c r="G10" s="23">
        <f t="shared" si="1"/>
        <v>-1393</v>
      </c>
      <c r="H10" s="23">
        <f t="shared" si="2"/>
        <v>102.28359532658035</v>
      </c>
    </row>
    <row r="11" spans="1:12" ht="25.5" customHeight="1">
      <c r="A11" s="71" t="s">
        <v>1</v>
      </c>
      <c r="B11" s="218">
        <v>1012</v>
      </c>
      <c r="C11" s="22">
        <v>-73555.5</v>
      </c>
      <c r="D11" s="22">
        <v>-79241.3</v>
      </c>
      <c r="E11" s="22">
        <v>-78875.8</v>
      </c>
      <c r="F11" s="22">
        <v>-79241.3</v>
      </c>
      <c r="G11" s="23">
        <f t="shared" si="1"/>
        <v>-365.5</v>
      </c>
      <c r="H11" s="23">
        <f t="shared" si="2"/>
        <v>100.46338674219469</v>
      </c>
      <c r="K11" s="55"/>
    </row>
    <row r="12" spans="1:12" ht="25.5" customHeight="1">
      <c r="A12" s="71" t="s">
        <v>2</v>
      </c>
      <c r="B12" s="218">
        <v>1013</v>
      </c>
      <c r="C12" s="22">
        <v>-15976.7</v>
      </c>
      <c r="D12" s="22">
        <v>-17184</v>
      </c>
      <c r="E12" s="22">
        <v>-17175.7</v>
      </c>
      <c r="F12" s="22">
        <v>-17184</v>
      </c>
      <c r="G12" s="23">
        <f t="shared" si="1"/>
        <v>-8.2999999999992724</v>
      </c>
      <c r="H12" s="23">
        <f t="shared" si="2"/>
        <v>100.04832408577234</v>
      </c>
      <c r="I12" s="55"/>
      <c r="J12" s="55"/>
    </row>
    <row r="13" spans="1:12" ht="24" customHeight="1">
      <c r="A13" s="71" t="s">
        <v>3</v>
      </c>
      <c r="B13" s="218">
        <v>1014</v>
      </c>
      <c r="C13" s="22">
        <v>-12932.2</v>
      </c>
      <c r="D13" s="22">
        <v>-16773.400000000001</v>
      </c>
      <c r="E13" s="22">
        <v>-13840</v>
      </c>
      <c r="F13" s="22">
        <v>-16773.400000000001</v>
      </c>
      <c r="G13" s="23">
        <f t="shared" si="1"/>
        <v>-2933.4000000000015</v>
      </c>
      <c r="H13" s="23">
        <f t="shared" si="2"/>
        <v>121.19508670520231</v>
      </c>
      <c r="I13" s="87"/>
      <c r="J13" s="87"/>
      <c r="K13" s="87"/>
      <c r="L13" s="87"/>
    </row>
    <row r="14" spans="1:12" ht="24" customHeight="1">
      <c r="A14" s="71" t="s">
        <v>44</v>
      </c>
      <c r="B14" s="218">
        <v>1015</v>
      </c>
      <c r="C14" s="22">
        <v>-2269.4</v>
      </c>
      <c r="D14" s="22">
        <v>-2090.5</v>
      </c>
      <c r="E14" s="22">
        <v>-2198.1</v>
      </c>
      <c r="F14" s="22">
        <v>-2090.5</v>
      </c>
      <c r="G14" s="23">
        <f t="shared" si="1"/>
        <v>107.59999999999991</v>
      </c>
      <c r="H14" s="23">
        <f t="shared" si="2"/>
        <v>95.10486329102406</v>
      </c>
      <c r="I14" s="55"/>
      <c r="J14" s="55"/>
    </row>
    <row r="15" spans="1:12" ht="28.5" customHeight="1">
      <c r="A15" s="68" t="s">
        <v>22</v>
      </c>
      <c r="B15" s="218">
        <v>1020</v>
      </c>
      <c r="C15" s="70">
        <f t="shared" ref="C15" si="3">SUM(C8:C9)</f>
        <v>-11492.299999999988</v>
      </c>
      <c r="D15" s="70">
        <f t="shared" ref="D15" si="4">SUM(D8:D9)</f>
        <v>4193.8999999999942</v>
      </c>
      <c r="E15" s="46">
        <f>SUM(E8:E9)</f>
        <v>-9277.3000000000175</v>
      </c>
      <c r="F15" s="70">
        <f t="shared" ref="F15" si="5">SUM(F8:F9)</f>
        <v>4193.8999999999942</v>
      </c>
      <c r="G15" s="70">
        <f t="shared" si="1"/>
        <v>13471.200000000012</v>
      </c>
      <c r="H15" s="70">
        <f t="shared" si="2"/>
        <v>-45.206040550591084</v>
      </c>
    </row>
    <row r="16" spans="1:12" ht="43.5" customHeight="1">
      <c r="A16" s="68" t="s">
        <v>75</v>
      </c>
      <c r="B16" s="69">
        <v>1020</v>
      </c>
      <c r="C16" s="70">
        <f t="shared" ref="C16" si="6">SUM(C17:C21)</f>
        <v>-7692.7</v>
      </c>
      <c r="D16" s="70">
        <f t="shared" ref="D16" si="7">SUM(D17:D21)</f>
        <v>-8494.7000000000007</v>
      </c>
      <c r="E16" s="46">
        <f>SUM(E17:E21)</f>
        <v>-9086.7999999999993</v>
      </c>
      <c r="F16" s="70">
        <f t="shared" ref="F16" si="8">SUM(F17:F21)</f>
        <v>-8494.7000000000007</v>
      </c>
      <c r="G16" s="70">
        <f t="shared" si="1"/>
        <v>592.09999999999854</v>
      </c>
      <c r="H16" s="70">
        <f t="shared" si="2"/>
        <v>93.483954747545909</v>
      </c>
    </row>
    <row r="17" spans="1:13" ht="27" customHeight="1">
      <c r="A17" s="71" t="s">
        <v>61</v>
      </c>
      <c r="B17" s="218">
        <v>1021</v>
      </c>
      <c r="C17" s="22">
        <v>-85</v>
      </c>
      <c r="D17" s="22">
        <v>-42.1</v>
      </c>
      <c r="E17" s="22">
        <v>-110</v>
      </c>
      <c r="F17" s="22">
        <v>-42.1</v>
      </c>
      <c r="G17" s="23">
        <f t="shared" si="1"/>
        <v>67.900000000000006</v>
      </c>
      <c r="H17" s="23">
        <f t="shared" si="2"/>
        <v>38.272727272727273</v>
      </c>
      <c r="I17" s="55"/>
      <c r="J17" s="55"/>
    </row>
    <row r="18" spans="1:13" ht="27.75" customHeight="1">
      <c r="A18" s="71" t="s">
        <v>1</v>
      </c>
      <c r="B18" s="218">
        <v>1022</v>
      </c>
      <c r="C18" s="22">
        <v>-6121.9</v>
      </c>
      <c r="D18" s="22">
        <v>-6690</v>
      </c>
      <c r="E18" s="22">
        <v>-6850</v>
      </c>
      <c r="F18" s="22">
        <v>-6690</v>
      </c>
      <c r="G18" s="23">
        <f t="shared" si="1"/>
        <v>160</v>
      </c>
      <c r="H18" s="23">
        <f t="shared" si="2"/>
        <v>97.664233576642332</v>
      </c>
      <c r="I18" s="55"/>
      <c r="J18" s="55"/>
    </row>
    <row r="19" spans="1:13" ht="25.5" customHeight="1">
      <c r="A19" s="71" t="s">
        <v>2</v>
      </c>
      <c r="B19" s="218">
        <v>1023</v>
      </c>
      <c r="C19" s="22">
        <v>-1187.3</v>
      </c>
      <c r="D19" s="22">
        <v>-1302.5</v>
      </c>
      <c r="E19" s="22">
        <v>-1365</v>
      </c>
      <c r="F19" s="22">
        <v>-1302.5</v>
      </c>
      <c r="G19" s="23">
        <f t="shared" si="1"/>
        <v>62.5</v>
      </c>
      <c r="H19" s="23">
        <f t="shared" si="2"/>
        <v>95.42124542124543</v>
      </c>
      <c r="I19" s="55"/>
      <c r="J19" s="55"/>
    </row>
    <row r="20" spans="1:13" ht="24.75" customHeight="1">
      <c r="A20" s="71" t="s">
        <v>3</v>
      </c>
      <c r="B20" s="218">
        <v>1024</v>
      </c>
      <c r="C20" s="22"/>
      <c r="D20" s="22"/>
      <c r="E20" s="22" t="s">
        <v>268</v>
      </c>
      <c r="F20" s="22"/>
      <c r="G20" s="88" t="e">
        <f t="shared" si="1"/>
        <v>#VALUE!</v>
      </c>
      <c r="H20" s="23"/>
      <c r="I20" s="35"/>
      <c r="J20" s="35"/>
      <c r="K20" s="35"/>
      <c r="L20" s="35"/>
    </row>
    <row r="21" spans="1:13" ht="38.25" customHeight="1">
      <c r="A21" s="71" t="s">
        <v>62</v>
      </c>
      <c r="B21" s="218">
        <v>1025</v>
      </c>
      <c r="C21" s="22">
        <v>-298.5</v>
      </c>
      <c r="D21" s="22">
        <v>-460.1</v>
      </c>
      <c r="E21" s="22">
        <v>-761.8</v>
      </c>
      <c r="F21" s="22">
        <v>-460.1</v>
      </c>
      <c r="G21" s="23">
        <f t="shared" si="1"/>
        <v>301.69999999999993</v>
      </c>
      <c r="H21" s="23">
        <f t="shared" si="2"/>
        <v>60.396429509057505</v>
      </c>
      <c r="I21" s="35"/>
      <c r="J21" s="35"/>
      <c r="K21" s="35"/>
      <c r="L21" s="35"/>
    </row>
    <row r="22" spans="1:13" ht="38.25" customHeight="1">
      <c r="A22" s="68" t="s">
        <v>31</v>
      </c>
      <c r="B22" s="69">
        <v>1040</v>
      </c>
      <c r="C22" s="70">
        <f>SUM(C23:C24)</f>
        <v>20301.3</v>
      </c>
      <c r="D22" s="70">
        <f>SUM(D23:D24)</f>
        <v>17373</v>
      </c>
      <c r="E22" s="46">
        <f>E23+E24</f>
        <v>9175.6</v>
      </c>
      <c r="F22" s="70">
        <f>SUM(F23:F24)</f>
        <v>17373</v>
      </c>
      <c r="G22" s="70">
        <f t="shared" si="1"/>
        <v>8197.4</v>
      </c>
      <c r="H22" s="70">
        <f t="shared" si="2"/>
        <v>189.33911678800294</v>
      </c>
      <c r="I22" s="53"/>
      <c r="J22" s="53"/>
      <c r="K22" s="53"/>
      <c r="L22" s="53"/>
      <c r="M22" s="53"/>
    </row>
    <row r="23" spans="1:13" ht="33" customHeight="1">
      <c r="A23" s="71" t="s">
        <v>32</v>
      </c>
      <c r="B23" s="218">
        <v>1041</v>
      </c>
      <c r="C23" s="23"/>
      <c r="D23" s="23"/>
      <c r="E23" s="22"/>
      <c r="F23" s="23"/>
      <c r="G23" s="23">
        <f t="shared" si="1"/>
        <v>0</v>
      </c>
      <c r="H23" s="72"/>
      <c r="I23" s="35"/>
      <c r="J23" s="35"/>
      <c r="K23" s="35"/>
      <c r="L23" s="35"/>
    </row>
    <row r="24" spans="1:13" ht="30" customHeight="1">
      <c r="A24" s="71" t="s">
        <v>33</v>
      </c>
      <c r="B24" s="218">
        <v>1042</v>
      </c>
      <c r="C24" s="22">
        <v>20301.3</v>
      </c>
      <c r="D24" s="22">
        <v>17373</v>
      </c>
      <c r="E24" s="232">
        <v>9175.6</v>
      </c>
      <c r="F24" s="22">
        <v>17373</v>
      </c>
      <c r="G24" s="23">
        <f t="shared" si="1"/>
        <v>8197.4</v>
      </c>
      <c r="H24" s="23">
        <f t="shared" si="2"/>
        <v>189.33911678800294</v>
      </c>
    </row>
    <row r="25" spans="1:13" ht="42.75" customHeight="1">
      <c r="A25" s="68" t="s">
        <v>10</v>
      </c>
      <c r="B25" s="69">
        <v>1030</v>
      </c>
      <c r="C25" s="70">
        <f t="shared" ref="C25" si="9">SUM(C26:C30)</f>
        <v>-4212.8999999999996</v>
      </c>
      <c r="D25" s="70">
        <f t="shared" ref="D25" si="10">SUM(D26:D30)</f>
        <v>-5122.7</v>
      </c>
      <c r="E25" s="46">
        <f t="shared" ref="E25:F25" si="11">SUM(E26:E30)</f>
        <v>-5990</v>
      </c>
      <c r="F25" s="70">
        <f t="shared" si="11"/>
        <v>-5122.7</v>
      </c>
      <c r="G25" s="70">
        <f t="shared" si="1"/>
        <v>867.30000000000018</v>
      </c>
      <c r="H25" s="70">
        <f t="shared" si="2"/>
        <v>85.520868113522525</v>
      </c>
    </row>
    <row r="26" spans="1:13" ht="21.95" customHeight="1">
      <c r="A26" s="71" t="s">
        <v>61</v>
      </c>
      <c r="B26" s="218">
        <v>1031</v>
      </c>
      <c r="C26" s="22">
        <v>-68</v>
      </c>
      <c r="D26" s="23"/>
      <c r="E26" s="22" t="s">
        <v>268</v>
      </c>
      <c r="F26" s="23"/>
      <c r="G26" s="89" t="e">
        <f t="shared" si="1"/>
        <v>#VALUE!</v>
      </c>
      <c r="H26" s="70"/>
    </row>
    <row r="27" spans="1:13" ht="21.95" customHeight="1">
      <c r="A27" s="71" t="s">
        <v>1</v>
      </c>
      <c r="B27" s="218">
        <v>1032</v>
      </c>
      <c r="C27" s="22">
        <v>-2405.1</v>
      </c>
      <c r="D27" s="22">
        <v>-3254.6</v>
      </c>
      <c r="E27" s="22">
        <v>-3300</v>
      </c>
      <c r="F27" s="22">
        <v>-3254.6</v>
      </c>
      <c r="G27" s="23">
        <f t="shared" si="1"/>
        <v>45.400000000000091</v>
      </c>
      <c r="H27" s="23">
        <f t="shared" si="2"/>
        <v>98.624242424242425</v>
      </c>
    </row>
    <row r="28" spans="1:13" ht="21.95" customHeight="1">
      <c r="A28" s="71" t="s">
        <v>2</v>
      </c>
      <c r="B28" s="218">
        <v>1033</v>
      </c>
      <c r="C28" s="22">
        <v>-475.4</v>
      </c>
      <c r="D28" s="22">
        <v>-637.4</v>
      </c>
      <c r="E28" s="22">
        <v>-660</v>
      </c>
      <c r="F28" s="22">
        <v>-637.4</v>
      </c>
      <c r="G28" s="23">
        <f t="shared" si="1"/>
        <v>22.600000000000023</v>
      </c>
      <c r="H28" s="23">
        <f t="shared" si="2"/>
        <v>96.575757575757564</v>
      </c>
    </row>
    <row r="29" spans="1:13" ht="21.95" customHeight="1">
      <c r="A29" s="71" t="s">
        <v>3</v>
      </c>
      <c r="B29" s="218">
        <v>1034</v>
      </c>
      <c r="C29" s="22">
        <v>-857</v>
      </c>
      <c r="D29" s="22">
        <v>-1050.5</v>
      </c>
      <c r="E29" s="22">
        <v>-1700</v>
      </c>
      <c r="F29" s="22">
        <v>-1050.5</v>
      </c>
      <c r="G29" s="23">
        <f t="shared" si="1"/>
        <v>649.5</v>
      </c>
      <c r="H29" s="72"/>
    </row>
    <row r="30" spans="1:13" ht="21.95" customHeight="1">
      <c r="A30" s="71" t="s">
        <v>63</v>
      </c>
      <c r="B30" s="218">
        <v>1035</v>
      </c>
      <c r="C30" s="22">
        <v>-407.4</v>
      </c>
      <c r="D30" s="22">
        <v>-180.2</v>
      </c>
      <c r="E30" s="22">
        <v>-330</v>
      </c>
      <c r="F30" s="22">
        <v>-180.2</v>
      </c>
      <c r="G30" s="23">
        <f t="shared" si="1"/>
        <v>149.80000000000001</v>
      </c>
      <c r="H30" s="23">
        <f t="shared" si="2"/>
        <v>54.606060606060602</v>
      </c>
    </row>
    <row r="31" spans="1:13" ht="41.25" customHeight="1">
      <c r="A31" s="68" t="s">
        <v>0</v>
      </c>
      <c r="B31" s="218">
        <v>1100</v>
      </c>
      <c r="C31" s="70">
        <f t="shared" ref="C31" si="12">SUM(C15,C16,C22,C25)</f>
        <v>-3096.5999999999894</v>
      </c>
      <c r="D31" s="70">
        <f t="shared" ref="D31:E31" si="13">SUM(D15,D16,D22,D25)</f>
        <v>7949.4999999999936</v>
      </c>
      <c r="E31" s="46">
        <f t="shared" si="13"/>
        <v>-15178.500000000016</v>
      </c>
      <c r="F31" s="70">
        <f t="shared" ref="F31" si="14">SUM(F15,F16,F22,F25)</f>
        <v>7949.4999999999936</v>
      </c>
      <c r="G31" s="70">
        <f t="shared" si="1"/>
        <v>23128.000000000011</v>
      </c>
      <c r="H31" s="70">
        <f t="shared" si="2"/>
        <v>-52.373422933754888</v>
      </c>
    </row>
    <row r="32" spans="1:13" ht="21.95" customHeight="1">
      <c r="A32" s="68" t="s">
        <v>220</v>
      </c>
      <c r="B32" s="69">
        <v>1130</v>
      </c>
      <c r="C32" s="70">
        <v>2190.3000000000002</v>
      </c>
      <c r="D32" s="70">
        <v>1394.2</v>
      </c>
      <c r="E32" s="233">
        <v>478.5</v>
      </c>
      <c r="F32" s="70">
        <v>1394.2</v>
      </c>
      <c r="G32" s="70">
        <f t="shared" si="1"/>
        <v>915.7</v>
      </c>
      <c r="H32" s="63">
        <f t="shared" si="2"/>
        <v>291.36886102403344</v>
      </c>
      <c r="I32" s="54"/>
      <c r="J32" s="54"/>
      <c r="K32" s="53"/>
      <c r="L32" s="53"/>
      <c r="M32" s="53"/>
    </row>
    <row r="33" spans="1:15" ht="21.95" customHeight="1">
      <c r="A33" s="73" t="s">
        <v>221</v>
      </c>
      <c r="B33" s="69">
        <v>1140</v>
      </c>
      <c r="C33" s="23"/>
      <c r="D33" s="23"/>
      <c r="E33" s="22" t="s">
        <v>268</v>
      </c>
      <c r="F33" s="23"/>
      <c r="G33" s="89" t="e">
        <f t="shared" si="1"/>
        <v>#VALUE!</v>
      </c>
      <c r="H33" s="72"/>
      <c r="K33" s="53"/>
      <c r="L33" s="53"/>
      <c r="M33" s="53"/>
    </row>
    <row r="34" spans="1:15" ht="21.95" customHeight="1">
      <c r="A34" s="68" t="s">
        <v>222</v>
      </c>
      <c r="B34" s="69">
        <v>1150</v>
      </c>
      <c r="C34" s="46">
        <v>13789.1</v>
      </c>
      <c r="D34" s="46">
        <v>16151</v>
      </c>
      <c r="E34" s="233">
        <v>14700</v>
      </c>
      <c r="F34" s="46">
        <v>16151</v>
      </c>
      <c r="G34" s="70">
        <f t="shared" si="1"/>
        <v>1451</v>
      </c>
      <c r="H34" s="74">
        <f>(F34/E34)*100</f>
        <v>109.87074829931973</v>
      </c>
      <c r="I34" s="53"/>
      <c r="J34" s="53"/>
      <c r="K34" s="53"/>
      <c r="L34" s="53"/>
      <c r="M34" s="53"/>
    </row>
    <row r="35" spans="1:15" ht="21.95" customHeight="1">
      <c r="A35" s="68" t="s">
        <v>223</v>
      </c>
      <c r="B35" s="69">
        <v>1160</v>
      </c>
      <c r="C35" s="23"/>
      <c r="D35" s="23"/>
      <c r="E35" s="22" t="s">
        <v>268</v>
      </c>
      <c r="F35" s="23"/>
      <c r="G35" s="89" t="e">
        <f t="shared" si="1"/>
        <v>#VALUE!</v>
      </c>
      <c r="H35" s="72"/>
      <c r="K35" s="53"/>
      <c r="L35" s="53"/>
      <c r="M35" s="53"/>
    </row>
    <row r="36" spans="1:15" ht="43.5" customHeight="1">
      <c r="A36" s="68" t="s">
        <v>12</v>
      </c>
      <c r="B36" s="69">
        <v>1170</v>
      </c>
      <c r="C36" s="70">
        <f>SUM(C31, C32:C35)</f>
        <v>12882.80000000001</v>
      </c>
      <c r="D36" s="70">
        <f>SUM(D31, D32:D35)</f>
        <v>25494.699999999993</v>
      </c>
      <c r="E36" s="46">
        <f>SUM(E31, E32:E35)</f>
        <v>-1.6370904631912708E-11</v>
      </c>
      <c r="F36" s="70">
        <f>SUM(F31, F32:F35)</f>
        <v>25494.699999999993</v>
      </c>
      <c r="G36" s="70">
        <f t="shared" si="1"/>
        <v>25494.700000000012</v>
      </c>
      <c r="H36" s="72"/>
      <c r="K36" s="53"/>
    </row>
    <row r="37" spans="1:15" ht="24.75" customHeight="1">
      <c r="A37" s="73" t="s">
        <v>24</v>
      </c>
      <c r="B37" s="218">
        <v>1180</v>
      </c>
      <c r="C37" s="23"/>
      <c r="D37" s="23"/>
      <c r="E37" s="22" t="s">
        <v>268</v>
      </c>
      <c r="F37" s="23"/>
      <c r="G37" s="89" t="e">
        <f t="shared" si="1"/>
        <v>#VALUE!</v>
      </c>
      <c r="H37" s="72"/>
    </row>
    <row r="38" spans="1:15" ht="29.25" customHeight="1">
      <c r="A38" s="73" t="s">
        <v>25</v>
      </c>
      <c r="B38" s="218">
        <v>1181</v>
      </c>
      <c r="C38" s="23"/>
      <c r="D38" s="23"/>
      <c r="E38" s="22"/>
      <c r="F38" s="23"/>
      <c r="G38" s="70">
        <f t="shared" si="1"/>
        <v>0</v>
      </c>
      <c r="H38" s="72"/>
    </row>
    <row r="39" spans="1:15" ht="21.95" customHeight="1">
      <c r="A39" s="68" t="s">
        <v>40</v>
      </c>
      <c r="B39" s="218">
        <v>1200</v>
      </c>
      <c r="C39" s="70">
        <f>SUM(C36:C38)</f>
        <v>12882.80000000001</v>
      </c>
      <c r="D39" s="70">
        <f>SUM(D36:D38)</f>
        <v>25494.699999999993</v>
      </c>
      <c r="E39" s="46">
        <f>SUM(E36:E38)</f>
        <v>-1.6370904631912708E-11</v>
      </c>
      <c r="F39" s="70">
        <f>SUM(F36:F38)</f>
        <v>25494.699999999993</v>
      </c>
      <c r="G39" s="70">
        <f t="shared" si="1"/>
        <v>25494.700000000012</v>
      </c>
      <c r="H39" s="75"/>
    </row>
    <row r="40" spans="1:15" ht="21.95" customHeight="1">
      <c r="A40" s="73" t="s">
        <v>41</v>
      </c>
      <c r="B40" s="218">
        <v>1201</v>
      </c>
      <c r="C40" s="23">
        <f>C42+C43</f>
        <v>12882.799999999988</v>
      </c>
      <c r="D40" s="23">
        <f>D42+D43</f>
        <v>25494.699999999983</v>
      </c>
      <c r="E40" s="22">
        <f t="shared" ref="E40" si="15">E42+E43</f>
        <v>0</v>
      </c>
      <c r="F40" s="23">
        <f>F42+F43</f>
        <v>25494.699999999983</v>
      </c>
      <c r="G40" s="23">
        <f t="shared" si="1"/>
        <v>25494.699999999983</v>
      </c>
      <c r="H40" s="72"/>
    </row>
    <row r="41" spans="1:15" ht="21.95" customHeight="1">
      <c r="A41" s="73" t="s">
        <v>42</v>
      </c>
      <c r="B41" s="218">
        <v>1202</v>
      </c>
      <c r="C41" s="23"/>
      <c r="D41" s="23"/>
      <c r="E41" s="22" t="s">
        <v>268</v>
      </c>
      <c r="F41" s="23"/>
      <c r="G41" s="89" t="e">
        <f t="shared" si="1"/>
        <v>#VALUE!</v>
      </c>
      <c r="H41" s="72"/>
    </row>
    <row r="42" spans="1:15" ht="21.95" customHeight="1">
      <c r="A42" s="68" t="s">
        <v>97</v>
      </c>
      <c r="B42" s="69">
        <v>1210</v>
      </c>
      <c r="C42" s="70">
        <f t="shared" ref="C42:D42" si="16">SUM(C8,C22,C32,C34,C38)</f>
        <v>181741.9</v>
      </c>
      <c r="D42" s="70">
        <f t="shared" si="16"/>
        <v>216794.6</v>
      </c>
      <c r="E42" s="46">
        <f>SUM(E8,E22,E32,E34,E38)</f>
        <v>188166.7</v>
      </c>
      <c r="F42" s="70">
        <f t="shared" ref="F42" si="17">SUM(F8,F22,F32,F34,F38)</f>
        <v>216794.6</v>
      </c>
      <c r="G42" s="70">
        <f t="shared" si="1"/>
        <v>28627.899999999994</v>
      </c>
      <c r="H42" s="74">
        <f t="shared" si="2"/>
        <v>115.21411599395641</v>
      </c>
    </row>
    <row r="43" spans="1:15" ht="21.95" customHeight="1">
      <c r="A43" s="68" t="s">
        <v>98</v>
      </c>
      <c r="B43" s="69">
        <v>1220</v>
      </c>
      <c r="C43" s="70">
        <f t="shared" ref="C43" si="18">SUM(C9,C16,C25,C33,C35,C37)</f>
        <v>-168859.1</v>
      </c>
      <c r="D43" s="70">
        <f t="shared" ref="D43" si="19">SUM(D9,D16,D25,D33,D35,D37)</f>
        <v>-191299.90000000002</v>
      </c>
      <c r="E43" s="46">
        <f>SUM(E9,E16,E25,E33,E35,E37)</f>
        <v>-188166.7</v>
      </c>
      <c r="F43" s="46">
        <f>SUM(F9,F16,F25,F33,F35,F37)</f>
        <v>-191299.90000000002</v>
      </c>
      <c r="G43" s="70">
        <f t="shared" si="1"/>
        <v>-3133.2000000000116</v>
      </c>
      <c r="H43" s="74">
        <f t="shared" si="2"/>
        <v>101.66511927987258</v>
      </c>
      <c r="I43" s="34"/>
      <c r="J43" s="34"/>
      <c r="K43" s="34"/>
      <c r="L43" s="34"/>
      <c r="M43" s="34"/>
      <c r="N43" s="34"/>
      <c r="O43" s="34"/>
    </row>
    <row r="44" spans="1:15" ht="21.95" customHeight="1">
      <c r="A44" s="274" t="s">
        <v>103</v>
      </c>
      <c r="B44" s="274"/>
      <c r="C44" s="274"/>
      <c r="D44" s="274"/>
      <c r="E44" s="274"/>
      <c r="F44" s="274"/>
      <c r="G44" s="274"/>
      <c r="H44" s="274"/>
      <c r="K44" s="55"/>
    </row>
    <row r="45" spans="1:15" ht="25.5" customHeight="1">
      <c r="A45" s="71" t="s">
        <v>50</v>
      </c>
      <c r="B45" s="219">
        <v>9000</v>
      </c>
      <c r="C45" s="23">
        <f>-C10-C17-C26</f>
        <v>52372.7</v>
      </c>
      <c r="D45" s="23">
        <f>-D10-D17</f>
        <v>62435.4</v>
      </c>
      <c r="E45" s="23">
        <f>-E10-E17</f>
        <v>61110.3</v>
      </c>
      <c r="F45" s="23">
        <f>-F10-F17</f>
        <v>62435.4</v>
      </c>
      <c r="G45" s="23">
        <f t="shared" ref="G45:G50" si="20">F45-E45</f>
        <v>1325.0999999999985</v>
      </c>
      <c r="H45" s="23">
        <f t="shared" ref="H45:H50" si="21">(F45/E45)*100</f>
        <v>102.16837423478529</v>
      </c>
      <c r="I45" s="35"/>
      <c r="J45" s="35"/>
      <c r="K45" s="35"/>
      <c r="L45" s="35"/>
      <c r="M45" s="35"/>
    </row>
    <row r="46" spans="1:15" ht="27" customHeight="1">
      <c r="A46" s="71" t="s">
        <v>1</v>
      </c>
      <c r="B46" s="219">
        <v>9010</v>
      </c>
      <c r="C46" s="23">
        <f t="shared" ref="C46:F47" si="22">-C11-C18-C27</f>
        <v>82082.5</v>
      </c>
      <c r="D46" s="23">
        <f t="shared" si="22"/>
        <v>89185.900000000009</v>
      </c>
      <c r="E46" s="23">
        <f t="shared" si="22"/>
        <v>89025.8</v>
      </c>
      <c r="F46" s="23">
        <f t="shared" si="22"/>
        <v>89185.900000000009</v>
      </c>
      <c r="G46" s="23">
        <f t="shared" si="20"/>
        <v>160.10000000000582</v>
      </c>
      <c r="H46" s="23">
        <f t="shared" si="21"/>
        <v>100.17983550835825</v>
      </c>
      <c r="I46" s="35"/>
      <c r="J46" s="35"/>
      <c r="K46" s="35"/>
      <c r="L46" s="35"/>
      <c r="M46" s="35"/>
    </row>
    <row r="47" spans="1:15" ht="24" customHeight="1">
      <c r="A47" s="71" t="s">
        <v>2</v>
      </c>
      <c r="B47" s="219">
        <v>9020</v>
      </c>
      <c r="C47" s="23">
        <f t="shared" si="22"/>
        <v>17639.400000000001</v>
      </c>
      <c r="D47" s="23">
        <f t="shared" si="22"/>
        <v>19123.900000000001</v>
      </c>
      <c r="E47" s="23">
        <f t="shared" si="22"/>
        <v>19200.7</v>
      </c>
      <c r="F47" s="23">
        <f t="shared" si="22"/>
        <v>19123.900000000001</v>
      </c>
      <c r="G47" s="23">
        <f t="shared" si="20"/>
        <v>-76.799999999999272</v>
      </c>
      <c r="H47" s="23">
        <f t="shared" si="21"/>
        <v>99.600014582801677</v>
      </c>
      <c r="I47" s="35"/>
      <c r="J47" s="35"/>
      <c r="K47" s="35"/>
      <c r="L47" s="35"/>
      <c r="M47" s="35"/>
    </row>
    <row r="48" spans="1:15" ht="24.75" customHeight="1">
      <c r="A48" s="71" t="s">
        <v>3</v>
      </c>
      <c r="B48" s="219">
        <v>9030</v>
      </c>
      <c r="C48" s="23">
        <f>-C13-C29</f>
        <v>13789.2</v>
      </c>
      <c r="D48" s="23">
        <f>-D13-D29</f>
        <v>17823.900000000001</v>
      </c>
      <c r="E48" s="23">
        <f>-E13-E29</f>
        <v>15540</v>
      </c>
      <c r="F48" s="23">
        <f>-F13-F29</f>
        <v>17823.900000000001</v>
      </c>
      <c r="G48" s="23">
        <f t="shared" si="20"/>
        <v>2283.9000000000015</v>
      </c>
      <c r="H48" s="23">
        <f t="shared" si="21"/>
        <v>114.69691119691122</v>
      </c>
      <c r="I48" s="35"/>
      <c r="J48" s="35"/>
      <c r="K48" s="35"/>
      <c r="L48" s="35"/>
      <c r="M48" s="35"/>
    </row>
    <row r="49" spans="1:13" ht="24" customHeight="1">
      <c r="A49" s="71" t="s">
        <v>5</v>
      </c>
      <c r="B49" s="219">
        <v>9040</v>
      </c>
      <c r="C49" s="23">
        <f>-C30-C14-C21</f>
        <v>2975.3</v>
      </c>
      <c r="D49" s="23">
        <f>-D30-D14-D21</f>
        <v>2730.7999999999997</v>
      </c>
      <c r="E49" s="23">
        <f>-E30-E14-E21</f>
        <v>3289.8999999999996</v>
      </c>
      <c r="F49" s="23">
        <f>-F30-F14-F21</f>
        <v>2730.7999999999997</v>
      </c>
      <c r="G49" s="23">
        <f t="shared" si="20"/>
        <v>-559.09999999999991</v>
      </c>
      <c r="H49" s="23">
        <f t="shared" si="21"/>
        <v>83.005562479102707</v>
      </c>
      <c r="I49" s="35"/>
      <c r="J49" s="35"/>
      <c r="K49" s="35"/>
      <c r="L49" s="35"/>
      <c r="M49" s="35"/>
    </row>
    <row r="50" spans="1:13" ht="21.95" customHeight="1">
      <c r="A50" s="76" t="s">
        <v>7</v>
      </c>
      <c r="B50" s="220">
        <v>9050</v>
      </c>
      <c r="C50" s="70">
        <f>SUM(C45:C49)</f>
        <v>168859.1</v>
      </c>
      <c r="D50" s="70">
        <f t="shared" ref="D50:F50" si="23">SUM(D45:D49)</f>
        <v>191299.9</v>
      </c>
      <c r="E50" s="70">
        <f t="shared" ref="E50" si="24">SUM(E45:E49)</f>
        <v>188166.7</v>
      </c>
      <c r="F50" s="70">
        <f t="shared" si="23"/>
        <v>191299.9</v>
      </c>
      <c r="G50" s="70">
        <f t="shared" si="20"/>
        <v>3133.1999999999825</v>
      </c>
      <c r="H50" s="70">
        <f t="shared" si="21"/>
        <v>101.66511927987256</v>
      </c>
      <c r="I50" s="35"/>
      <c r="J50" s="35"/>
      <c r="K50" s="35"/>
      <c r="L50" s="35"/>
      <c r="M50" s="35"/>
    </row>
    <row r="51" spans="1:13" ht="21.95" customHeight="1">
      <c r="A51" s="267" t="s">
        <v>81</v>
      </c>
      <c r="B51" s="267"/>
      <c r="C51" s="267"/>
      <c r="D51" s="267"/>
      <c r="E51" s="267"/>
      <c r="F51" s="267"/>
      <c r="G51" s="267"/>
      <c r="H51" s="267"/>
      <c r="K51" s="35"/>
    </row>
    <row r="52" spans="1:13" ht="63" customHeight="1">
      <c r="A52" s="77" t="s">
        <v>209</v>
      </c>
      <c r="B52" s="69">
        <v>2110</v>
      </c>
      <c r="C52" s="70">
        <f t="shared" ref="C52" si="25">SUM(C53:C56)</f>
        <v>-1262.6000000000001</v>
      </c>
      <c r="D52" s="70">
        <f t="shared" ref="D52:F52" si="26">SUM(D53:D56)</f>
        <v>-1382.3999999999999</v>
      </c>
      <c r="E52" s="70">
        <f t="shared" ref="E52" si="27">SUM(E53:E56)</f>
        <v>-1385.4</v>
      </c>
      <c r="F52" s="70">
        <f t="shared" si="26"/>
        <v>-1382.3999999999999</v>
      </c>
      <c r="G52" s="70">
        <f>F52-E52</f>
        <v>3.0000000000002274</v>
      </c>
      <c r="H52" s="70">
        <f>(F52/E52)*100</f>
        <v>99.783456041576429</v>
      </c>
      <c r="I52" s="35"/>
      <c r="J52" s="35"/>
    </row>
    <row r="53" spans="1:13" ht="42" customHeight="1">
      <c r="A53" s="71" t="s">
        <v>47</v>
      </c>
      <c r="B53" s="218">
        <v>2111</v>
      </c>
      <c r="C53" s="22">
        <v>-18.7</v>
      </c>
      <c r="D53" s="22">
        <v>-35.299999999999997</v>
      </c>
      <c r="E53" s="22">
        <v>-50</v>
      </c>
      <c r="F53" s="22">
        <v>-35.299999999999997</v>
      </c>
      <c r="G53" s="23">
        <f t="shared" ref="G53:G68" si="28">F53-E53</f>
        <v>14.700000000000003</v>
      </c>
      <c r="H53" s="23">
        <f>(F53/E53)*100</f>
        <v>70.599999999999994</v>
      </c>
    </row>
    <row r="54" spans="1:13" ht="40.5" customHeight="1">
      <c r="A54" s="78" t="s">
        <v>48</v>
      </c>
      <c r="B54" s="218">
        <v>2112</v>
      </c>
      <c r="C54" s="23"/>
      <c r="D54" s="23"/>
      <c r="E54" s="23"/>
      <c r="F54" s="23"/>
      <c r="G54" s="23">
        <f t="shared" si="28"/>
        <v>0</v>
      </c>
      <c r="H54" s="72"/>
    </row>
    <row r="55" spans="1:13" ht="24.75" customHeight="1">
      <c r="A55" s="71" t="s">
        <v>55</v>
      </c>
      <c r="B55" s="218">
        <v>2113</v>
      </c>
      <c r="C55" s="22">
        <v>-1243.9000000000001</v>
      </c>
      <c r="D55" s="22">
        <v>-1347.1</v>
      </c>
      <c r="E55" s="22">
        <v>-1335.4</v>
      </c>
      <c r="F55" s="22">
        <v>-1347.1</v>
      </c>
      <c r="G55" s="23">
        <f t="shared" si="28"/>
        <v>-11.699999999999818</v>
      </c>
      <c r="H55" s="23">
        <f t="shared" ref="H55:H68" si="29">(F55/E55)*100</f>
        <v>100.87614197993109</v>
      </c>
    </row>
    <row r="56" spans="1:13" ht="24.75" customHeight="1">
      <c r="A56" s="71" t="s">
        <v>35</v>
      </c>
      <c r="B56" s="218">
        <v>2114</v>
      </c>
      <c r="C56" s="23"/>
      <c r="D56" s="23"/>
      <c r="E56" s="23"/>
      <c r="F56" s="23"/>
      <c r="G56" s="70">
        <f t="shared" si="28"/>
        <v>0</v>
      </c>
      <c r="H56" s="72"/>
    </row>
    <row r="57" spans="1:13" ht="41.25" customHeight="1">
      <c r="A57" s="79" t="s">
        <v>52</v>
      </c>
      <c r="B57" s="220">
        <v>2120</v>
      </c>
      <c r="C57" s="70">
        <f>SUM(C58:C63)</f>
        <v>-14922.6</v>
      </c>
      <c r="D57" s="70">
        <f>SUM(D58:D63)</f>
        <v>-16053.8</v>
      </c>
      <c r="E57" s="70">
        <f>SUM(E58:E63)</f>
        <v>-16024.9</v>
      </c>
      <c r="F57" s="70">
        <f>SUM(F58:F63)</f>
        <v>-16053.8</v>
      </c>
      <c r="G57" s="70">
        <f t="shared" si="28"/>
        <v>-28.899999999999636</v>
      </c>
      <c r="H57" s="70">
        <f t="shared" si="29"/>
        <v>100.18034433912224</v>
      </c>
    </row>
    <row r="58" spans="1:13" ht="27" customHeight="1">
      <c r="A58" s="78" t="s">
        <v>34</v>
      </c>
      <c r="B58" s="219">
        <v>2121</v>
      </c>
      <c r="C58" s="23"/>
      <c r="D58" s="23"/>
      <c r="E58" s="23"/>
      <c r="F58" s="23"/>
      <c r="G58" s="70">
        <f t="shared" si="28"/>
        <v>0</v>
      </c>
      <c r="H58" s="72"/>
    </row>
    <row r="59" spans="1:13" ht="27" customHeight="1">
      <c r="A59" s="71" t="s">
        <v>11</v>
      </c>
      <c r="B59" s="219">
        <v>2122</v>
      </c>
      <c r="C59" s="22">
        <v>-14922.6</v>
      </c>
      <c r="D59" s="22">
        <v>-16053.5</v>
      </c>
      <c r="E59" s="22">
        <v>-16024.6</v>
      </c>
      <c r="F59" s="22">
        <v>-16053.5</v>
      </c>
      <c r="G59" s="23">
        <f t="shared" si="28"/>
        <v>-28.899999999999636</v>
      </c>
      <c r="H59" s="23">
        <f t="shared" si="29"/>
        <v>100.1803477153876</v>
      </c>
    </row>
    <row r="60" spans="1:13" ht="21.95" customHeight="1">
      <c r="A60" s="71" t="s">
        <v>38</v>
      </c>
      <c r="B60" s="219">
        <v>2123</v>
      </c>
      <c r="C60" s="23"/>
      <c r="D60" s="22">
        <v>-0.3</v>
      </c>
      <c r="E60" s="22">
        <v>-0.3</v>
      </c>
      <c r="F60" s="22">
        <v>-0.3</v>
      </c>
      <c r="G60" s="70">
        <f t="shared" si="28"/>
        <v>0</v>
      </c>
      <c r="H60" s="72"/>
    </row>
    <row r="61" spans="1:13" ht="25.5" customHeight="1">
      <c r="A61" s="71" t="s">
        <v>39</v>
      </c>
      <c r="B61" s="219">
        <v>2124</v>
      </c>
      <c r="C61" s="23"/>
      <c r="D61" s="23"/>
      <c r="E61" s="23"/>
      <c r="F61" s="23"/>
      <c r="G61" s="70">
        <f t="shared" si="28"/>
        <v>0</v>
      </c>
      <c r="H61" s="72"/>
    </row>
    <row r="62" spans="1:13" ht="80.25" customHeight="1">
      <c r="A62" s="71" t="s">
        <v>99</v>
      </c>
      <c r="B62" s="219">
        <v>2125</v>
      </c>
      <c r="C62" s="23"/>
      <c r="D62" s="23"/>
      <c r="E62" s="23"/>
      <c r="F62" s="23"/>
      <c r="G62" s="70">
        <f t="shared" si="28"/>
        <v>0</v>
      </c>
      <c r="H62" s="72"/>
    </row>
    <row r="63" spans="1:13" ht="22.5" customHeight="1">
      <c r="A63" s="71" t="s">
        <v>35</v>
      </c>
      <c r="B63" s="219">
        <v>2126</v>
      </c>
      <c r="C63" s="23"/>
      <c r="D63" s="23"/>
      <c r="E63" s="23"/>
      <c r="F63" s="23"/>
      <c r="G63" s="70">
        <f t="shared" si="28"/>
        <v>0</v>
      </c>
      <c r="H63" s="72"/>
    </row>
    <row r="64" spans="1:13" ht="44.25" customHeight="1">
      <c r="A64" s="77" t="s">
        <v>53</v>
      </c>
      <c r="B64" s="220">
        <v>2130</v>
      </c>
      <c r="C64" s="70">
        <f t="shared" ref="C64" si="30">SUM(C65:C67)</f>
        <v>-18396.800000000003</v>
      </c>
      <c r="D64" s="70">
        <f t="shared" ref="D64:F64" si="31">SUM(D65:D67)</f>
        <v>-19948</v>
      </c>
      <c r="E64" s="70">
        <f t="shared" ref="E64" si="32">SUM(E65:E67)</f>
        <v>-19928.600000000002</v>
      </c>
      <c r="F64" s="70">
        <f t="shared" si="31"/>
        <v>-19948</v>
      </c>
      <c r="G64" s="70">
        <f t="shared" si="28"/>
        <v>-19.399999999997817</v>
      </c>
      <c r="H64" s="70">
        <f t="shared" si="29"/>
        <v>100.09734753068453</v>
      </c>
    </row>
    <row r="65" spans="1:8" ht="24" customHeight="1">
      <c r="A65" s="71" t="s">
        <v>36</v>
      </c>
      <c r="B65" s="219">
        <v>2131</v>
      </c>
      <c r="C65" s="23"/>
      <c r="D65" s="23"/>
      <c r="E65" s="23"/>
      <c r="F65" s="23"/>
      <c r="G65" s="70">
        <f t="shared" si="28"/>
        <v>0</v>
      </c>
      <c r="H65" s="72"/>
    </row>
    <row r="66" spans="1:8" ht="41.25" customHeight="1">
      <c r="A66" s="71" t="s">
        <v>37</v>
      </c>
      <c r="B66" s="219">
        <v>2132</v>
      </c>
      <c r="C66" s="22">
        <v>-17639.400000000001</v>
      </c>
      <c r="D66" s="22">
        <v>-19123.900000000001</v>
      </c>
      <c r="E66" s="22">
        <v>-19200.7</v>
      </c>
      <c r="F66" s="22">
        <v>-19123.900000000001</v>
      </c>
      <c r="G66" s="23">
        <f t="shared" si="28"/>
        <v>76.799999999999272</v>
      </c>
      <c r="H66" s="23">
        <f t="shared" si="29"/>
        <v>99.600014582801677</v>
      </c>
    </row>
    <row r="67" spans="1:8" ht="39" customHeight="1">
      <c r="A67" s="71" t="s">
        <v>205</v>
      </c>
      <c r="B67" s="219">
        <v>2133</v>
      </c>
      <c r="C67" s="22">
        <v>-757.4</v>
      </c>
      <c r="D67" s="22">
        <v>-824.1</v>
      </c>
      <c r="E67" s="22">
        <v>-727.9</v>
      </c>
      <c r="F67" s="22">
        <v>-824.1</v>
      </c>
      <c r="G67" s="23">
        <f t="shared" si="28"/>
        <v>-96.200000000000045</v>
      </c>
      <c r="H67" s="23">
        <f t="shared" si="29"/>
        <v>113.21610111279024</v>
      </c>
    </row>
    <row r="68" spans="1:8" ht="27" customHeight="1">
      <c r="A68" s="79" t="s">
        <v>49</v>
      </c>
      <c r="B68" s="220">
        <v>2200</v>
      </c>
      <c r="C68" s="70">
        <f>SUM(C52+C57+C64)</f>
        <v>-34582</v>
      </c>
      <c r="D68" s="70">
        <f>SUM(D52+D57+D64)</f>
        <v>-37384.199999999997</v>
      </c>
      <c r="E68" s="70">
        <f>SUM(E52+E57+E64)</f>
        <v>-37338.9</v>
      </c>
      <c r="F68" s="70">
        <f>SUM(F52+F57+F64)</f>
        <v>-37384.199999999997</v>
      </c>
      <c r="G68" s="70">
        <f t="shared" si="28"/>
        <v>-45.299999999995634</v>
      </c>
      <c r="H68" s="70">
        <f t="shared" si="29"/>
        <v>100.12132119585739</v>
      </c>
    </row>
    <row r="69" spans="1:8" ht="24" customHeight="1">
      <c r="A69" s="268" t="s">
        <v>82</v>
      </c>
      <c r="B69" s="269"/>
      <c r="C69" s="269"/>
      <c r="D69" s="269"/>
      <c r="E69" s="269"/>
      <c r="F69" s="269"/>
      <c r="G69" s="269"/>
      <c r="H69" s="270"/>
    </row>
    <row r="70" spans="1:8" ht="27.75" customHeight="1">
      <c r="A70" s="68" t="s">
        <v>16</v>
      </c>
      <c r="B70" s="69">
        <v>4000</v>
      </c>
      <c r="C70" s="70">
        <f>SUM(C71:C77)</f>
        <v>3422.5</v>
      </c>
      <c r="D70" s="70">
        <f>SUM(D71:D77)</f>
        <v>6744.2999999999993</v>
      </c>
      <c r="E70" s="70">
        <f>SUM(E71:E77)</f>
        <v>1700</v>
      </c>
      <c r="F70" s="70">
        <f>SUM(F71:F77)</f>
        <v>6744.2999999999993</v>
      </c>
      <c r="G70" s="70">
        <f>F70-E70</f>
        <v>5044.2999999999993</v>
      </c>
      <c r="H70" s="89">
        <f>(F70/E70)*100</f>
        <v>396.72352941176467</v>
      </c>
    </row>
    <row r="71" spans="1:8" ht="30.75" customHeight="1">
      <c r="A71" s="71" t="s">
        <v>56</v>
      </c>
      <c r="B71" s="218">
        <v>4010</v>
      </c>
      <c r="C71" s="23"/>
      <c r="D71" s="23"/>
      <c r="E71" s="23"/>
      <c r="F71" s="23"/>
      <c r="G71" s="70">
        <f t="shared" ref="G71:G77" si="33">F71-E71</f>
        <v>0</v>
      </c>
      <c r="H71" s="23"/>
    </row>
    <row r="72" spans="1:8" ht="42.75" customHeight="1">
      <c r="A72" s="71" t="s">
        <v>224</v>
      </c>
      <c r="B72" s="218">
        <v>4020</v>
      </c>
      <c r="C72" s="23">
        <v>2033.8</v>
      </c>
      <c r="D72" s="23">
        <v>4588.2</v>
      </c>
      <c r="E72" s="23"/>
      <c r="F72" s="23">
        <f>D72</f>
        <v>4588.2</v>
      </c>
      <c r="G72" s="88">
        <f t="shared" si="33"/>
        <v>4588.2</v>
      </c>
      <c r="H72" s="88" t="e">
        <f t="shared" ref="H72" si="34">(F72/E72)*100</f>
        <v>#DIV/0!</v>
      </c>
    </row>
    <row r="73" spans="1:8" ht="57.75" customHeight="1">
      <c r="A73" s="71" t="s">
        <v>64</v>
      </c>
      <c r="B73" s="218">
        <v>4030</v>
      </c>
      <c r="C73" s="23"/>
      <c r="D73" s="23"/>
      <c r="E73" s="23"/>
      <c r="F73" s="23"/>
      <c r="G73" s="70">
        <f t="shared" si="33"/>
        <v>0</v>
      </c>
      <c r="H73" s="23"/>
    </row>
    <row r="74" spans="1:8" ht="42" customHeight="1">
      <c r="A74" s="71" t="s">
        <v>225</v>
      </c>
      <c r="B74" s="218">
        <v>4040</v>
      </c>
      <c r="C74" s="23"/>
      <c r="D74" s="23"/>
      <c r="E74" s="23"/>
      <c r="F74" s="23"/>
      <c r="G74" s="70">
        <f t="shared" si="33"/>
        <v>0</v>
      </c>
      <c r="H74" s="23"/>
    </row>
    <row r="75" spans="1:8" ht="61.5" customHeight="1">
      <c r="A75" s="71" t="s">
        <v>57</v>
      </c>
      <c r="B75" s="218">
        <v>4050</v>
      </c>
      <c r="C75" s="328">
        <v>65.099999999999994</v>
      </c>
      <c r="D75" s="328">
        <v>135</v>
      </c>
      <c r="E75" s="23"/>
      <c r="F75" s="328">
        <v>135</v>
      </c>
      <c r="G75" s="70">
        <f t="shared" si="33"/>
        <v>135</v>
      </c>
      <c r="H75" s="23"/>
    </row>
    <row r="76" spans="1:8" ht="27.75" customHeight="1">
      <c r="A76" s="71" t="s">
        <v>58</v>
      </c>
      <c r="B76" s="218">
        <v>4060</v>
      </c>
      <c r="C76" s="23">
        <v>1323.6</v>
      </c>
      <c r="D76" s="23">
        <v>2021.1</v>
      </c>
      <c r="E76" s="23">
        <v>1700</v>
      </c>
      <c r="F76" s="23">
        <f>D76</f>
        <v>2021.1</v>
      </c>
      <c r="G76" s="23" t="s">
        <v>242</v>
      </c>
      <c r="H76" s="72"/>
    </row>
    <row r="77" spans="1:8" ht="24.75" customHeight="1">
      <c r="A77" s="71" t="s">
        <v>44</v>
      </c>
      <c r="B77" s="218">
        <v>4070</v>
      </c>
      <c r="C77" s="23"/>
      <c r="D77" s="23"/>
      <c r="E77" s="23"/>
      <c r="F77" s="23"/>
      <c r="G77" s="70">
        <f t="shared" si="33"/>
        <v>0</v>
      </c>
      <c r="H77" s="72"/>
    </row>
    <row r="78" spans="1:8" ht="21.95" customHeight="1">
      <c r="A78" s="277" t="s">
        <v>83</v>
      </c>
      <c r="B78" s="278"/>
      <c r="C78" s="278"/>
      <c r="D78" s="278"/>
      <c r="E78" s="278"/>
      <c r="F78" s="278"/>
      <c r="G78" s="278"/>
      <c r="H78" s="279"/>
    </row>
    <row r="79" spans="1:8" ht="58.5" customHeight="1">
      <c r="A79" s="286" t="s">
        <v>20</v>
      </c>
      <c r="B79" s="282" t="s">
        <v>4</v>
      </c>
      <c r="C79" s="280" t="s">
        <v>102</v>
      </c>
      <c r="D79" s="281"/>
      <c r="E79" s="282" t="s">
        <v>333</v>
      </c>
      <c r="F79" s="282" t="s">
        <v>334</v>
      </c>
      <c r="G79" s="282" t="s">
        <v>92</v>
      </c>
      <c r="H79" s="284" t="s">
        <v>92</v>
      </c>
    </row>
    <row r="80" spans="1:8" ht="45" customHeight="1">
      <c r="A80" s="287"/>
      <c r="B80" s="283"/>
      <c r="C80" s="219" t="s">
        <v>330</v>
      </c>
      <c r="D80" s="219" t="s">
        <v>331</v>
      </c>
      <c r="E80" s="283"/>
      <c r="F80" s="283"/>
      <c r="G80" s="283"/>
      <c r="H80" s="285"/>
    </row>
    <row r="81" spans="1:10" s="60" customFormat="1" ht="83.25" customHeight="1">
      <c r="A81" s="79" t="s">
        <v>226</v>
      </c>
      <c r="B81" s="80" t="s">
        <v>26</v>
      </c>
      <c r="C81" s="47">
        <f t="shared" ref="C81" si="35">SUM(C82:C84)</f>
        <v>740</v>
      </c>
      <c r="D81" s="47">
        <f t="shared" ref="D81:E81" si="36">SUM(D82:D84)</f>
        <v>718</v>
      </c>
      <c r="E81" s="81">
        <f t="shared" si="36"/>
        <v>745</v>
      </c>
      <c r="F81" s="47">
        <f t="shared" ref="F81" si="37">SUM(F82:F84)</f>
        <v>718</v>
      </c>
      <c r="G81" s="81">
        <f>F81-E81</f>
        <v>-27</v>
      </c>
      <c r="H81" s="70">
        <f>F81/E81*100</f>
        <v>96.375838926174495</v>
      </c>
      <c r="I81" s="52"/>
      <c r="J81" s="52"/>
    </row>
    <row r="82" spans="1:10" ht="21.95" customHeight="1">
      <c r="A82" s="73" t="s">
        <v>18</v>
      </c>
      <c r="B82" s="218" t="s">
        <v>27</v>
      </c>
      <c r="C82" s="22">
        <v>1</v>
      </c>
      <c r="D82" s="22">
        <v>1</v>
      </c>
      <c r="E82" s="22">
        <v>1</v>
      </c>
      <c r="F82" s="22">
        <v>1</v>
      </c>
      <c r="G82" s="23">
        <f t="shared" ref="G82:G96" si="38">F82-E82</f>
        <v>0</v>
      </c>
      <c r="H82" s="23">
        <f t="shared" ref="H82:H96" si="39">F82/E82*100</f>
        <v>100</v>
      </c>
    </row>
    <row r="83" spans="1:10" ht="21.95" customHeight="1">
      <c r="A83" s="73" t="s">
        <v>21</v>
      </c>
      <c r="B83" s="218" t="s">
        <v>28</v>
      </c>
      <c r="C83" s="22">
        <v>27</v>
      </c>
      <c r="D83" s="22">
        <v>27</v>
      </c>
      <c r="E83" s="22">
        <v>26</v>
      </c>
      <c r="F83" s="22">
        <v>27</v>
      </c>
      <c r="G83" s="23">
        <f t="shared" si="38"/>
        <v>1</v>
      </c>
      <c r="H83" s="23">
        <f t="shared" si="39"/>
        <v>103.84615384615385</v>
      </c>
    </row>
    <row r="84" spans="1:10" ht="21.95" customHeight="1">
      <c r="A84" s="73" t="s">
        <v>19</v>
      </c>
      <c r="B84" s="218" t="s">
        <v>29</v>
      </c>
      <c r="C84" s="22">
        <v>712</v>
      </c>
      <c r="D84" s="22">
        <v>690</v>
      </c>
      <c r="E84" s="22">
        <v>718</v>
      </c>
      <c r="F84" s="22">
        <v>690</v>
      </c>
      <c r="G84" s="23">
        <f t="shared" si="38"/>
        <v>-28</v>
      </c>
      <c r="H84" s="23">
        <f t="shared" si="39"/>
        <v>96.100278551532043</v>
      </c>
    </row>
    <row r="85" spans="1:10" ht="21.95" customHeight="1">
      <c r="A85" s="68" t="s">
        <v>65</v>
      </c>
      <c r="B85" s="69" t="s">
        <v>30</v>
      </c>
      <c r="C85" s="70">
        <f>SUM(C86:C88)</f>
        <v>82082.5</v>
      </c>
      <c r="D85" s="175">
        <f>SUM(D86:D88)</f>
        <v>89185.9</v>
      </c>
      <c r="E85" s="175">
        <f t="shared" ref="E85" si="40">SUM(E86:E88)</f>
        <v>90981.2</v>
      </c>
      <c r="F85" s="175">
        <f>SUM(F86:F88)</f>
        <v>89185.9</v>
      </c>
      <c r="G85" s="175">
        <f t="shared" si="38"/>
        <v>-1795.3000000000029</v>
      </c>
      <c r="H85" s="175">
        <f t="shared" si="39"/>
        <v>98.026735193644399</v>
      </c>
    </row>
    <row r="86" spans="1:10" ht="21.95" customHeight="1">
      <c r="A86" s="73" t="s">
        <v>18</v>
      </c>
      <c r="B86" s="218">
        <v>8011</v>
      </c>
      <c r="C86" s="23">
        <v>320.60000000000002</v>
      </c>
      <c r="D86" s="176">
        <v>522.29999999999995</v>
      </c>
      <c r="E86" s="176">
        <v>522.20000000000005</v>
      </c>
      <c r="F86" s="176">
        <v>522.29999999999995</v>
      </c>
      <c r="G86" s="176">
        <f t="shared" si="38"/>
        <v>9.9999999999909051E-2</v>
      </c>
      <c r="H86" s="176">
        <f t="shared" si="39"/>
        <v>100.01914975105322</v>
      </c>
      <c r="I86" s="55"/>
      <c r="J86" s="55"/>
    </row>
    <row r="87" spans="1:10" ht="21.95" customHeight="1">
      <c r="A87" s="73" t="s">
        <v>21</v>
      </c>
      <c r="B87" s="218">
        <v>8012</v>
      </c>
      <c r="C87" s="22">
        <v>5399.1</v>
      </c>
      <c r="D87" s="176">
        <v>6167.7</v>
      </c>
      <c r="E87" s="176">
        <v>6402.8</v>
      </c>
      <c r="F87" s="176">
        <v>6167.7</v>
      </c>
      <c r="G87" s="176">
        <f t="shared" si="38"/>
        <v>-235.10000000000036</v>
      </c>
      <c r="H87" s="176">
        <f t="shared" si="39"/>
        <v>96.328168926094833</v>
      </c>
    </row>
    <row r="88" spans="1:10" ht="21.95" customHeight="1">
      <c r="A88" s="73" t="s">
        <v>19</v>
      </c>
      <c r="B88" s="218">
        <v>8013</v>
      </c>
      <c r="C88" s="22">
        <f>76614.8-252</f>
        <v>76362.8</v>
      </c>
      <c r="D88" s="176">
        <v>82495.899999999994</v>
      </c>
      <c r="E88" s="176">
        <v>84056.2</v>
      </c>
      <c r="F88" s="176">
        <v>82495.899999999994</v>
      </c>
      <c r="G88" s="176">
        <f t="shared" si="38"/>
        <v>-1560.3000000000029</v>
      </c>
      <c r="H88" s="176">
        <f t="shared" si="39"/>
        <v>98.143741925045376</v>
      </c>
    </row>
    <row r="89" spans="1:10" ht="21.95" customHeight="1">
      <c r="A89" s="68" t="s">
        <v>1</v>
      </c>
      <c r="B89" s="69">
        <v>8020</v>
      </c>
      <c r="C89" s="46">
        <f t="shared" ref="C89" si="41">SUM(C90:C92)</f>
        <v>82082.5</v>
      </c>
      <c r="D89" s="175">
        <f t="shared" ref="D89" si="42">SUM(D90:D92)</f>
        <v>89185.9</v>
      </c>
      <c r="E89" s="175">
        <f t="shared" ref="E89:F89" si="43">SUM(E90:E92)</f>
        <v>90981.2</v>
      </c>
      <c r="F89" s="175">
        <f t="shared" si="43"/>
        <v>89185.9</v>
      </c>
      <c r="G89" s="175">
        <f t="shared" si="38"/>
        <v>-1795.3000000000029</v>
      </c>
      <c r="H89" s="175">
        <f t="shared" si="39"/>
        <v>98.026735193644399</v>
      </c>
    </row>
    <row r="90" spans="1:10" ht="21.95" customHeight="1">
      <c r="A90" s="73" t="s">
        <v>18</v>
      </c>
      <c r="B90" s="218">
        <v>8021</v>
      </c>
      <c r="C90" s="23">
        <v>320.60000000000002</v>
      </c>
      <c r="D90" s="176">
        <v>522.29999999999995</v>
      </c>
      <c r="E90" s="176">
        <v>522.20000000000005</v>
      </c>
      <c r="F90" s="176">
        <v>522.29999999999995</v>
      </c>
      <c r="G90" s="176">
        <f t="shared" si="38"/>
        <v>9.9999999999909051E-2</v>
      </c>
      <c r="H90" s="176">
        <f t="shared" si="39"/>
        <v>100.01914975105322</v>
      </c>
    </row>
    <row r="91" spans="1:10" ht="21.95" customHeight="1">
      <c r="A91" s="73" t="s">
        <v>21</v>
      </c>
      <c r="B91" s="218">
        <v>8022</v>
      </c>
      <c r="C91" s="22">
        <v>5399.1</v>
      </c>
      <c r="D91" s="176">
        <v>6167.7</v>
      </c>
      <c r="E91" s="176">
        <v>6402.8</v>
      </c>
      <c r="F91" s="176">
        <v>6167.7</v>
      </c>
      <c r="G91" s="176">
        <f t="shared" si="38"/>
        <v>-235.10000000000036</v>
      </c>
      <c r="H91" s="176">
        <f t="shared" si="39"/>
        <v>96.328168926094833</v>
      </c>
    </row>
    <row r="92" spans="1:10" ht="21.95" customHeight="1">
      <c r="A92" s="73" t="s">
        <v>19</v>
      </c>
      <c r="B92" s="218">
        <v>8023</v>
      </c>
      <c r="C92" s="22">
        <v>76362.8</v>
      </c>
      <c r="D92" s="176">
        <v>82495.899999999994</v>
      </c>
      <c r="E92" s="176">
        <v>84056.2</v>
      </c>
      <c r="F92" s="176">
        <v>82495.899999999994</v>
      </c>
      <c r="G92" s="176">
        <f t="shared" si="38"/>
        <v>-1560.3000000000029</v>
      </c>
      <c r="H92" s="176">
        <f t="shared" si="39"/>
        <v>98.143741925045376</v>
      </c>
    </row>
    <row r="93" spans="1:10" s="60" customFormat="1" ht="39.75" customHeight="1">
      <c r="A93" s="79" t="s">
        <v>43</v>
      </c>
      <c r="B93" s="80" t="s">
        <v>66</v>
      </c>
      <c r="C93" s="208">
        <f t="shared" ref="C93:D96" si="44">(C89/C81)/6*1000</f>
        <v>18487.049549549549</v>
      </c>
      <c r="D93" s="175">
        <f t="shared" ref="D93:F94" si="45">(D89/D81)/6*1000</f>
        <v>20702.390900649953</v>
      </c>
      <c r="E93" s="234">
        <f t="shared" si="45"/>
        <v>20353.736017897092</v>
      </c>
      <c r="F93" s="175">
        <f t="shared" si="45"/>
        <v>20702.390900649953</v>
      </c>
      <c r="G93" s="175">
        <f t="shared" si="38"/>
        <v>348.65488275286043</v>
      </c>
      <c r="H93" s="175">
        <f t="shared" si="39"/>
        <v>101.71297732488172</v>
      </c>
    </row>
    <row r="94" spans="1:10" ht="21.95" customHeight="1">
      <c r="A94" s="73" t="s">
        <v>18</v>
      </c>
      <c r="B94" s="218">
        <v>8031</v>
      </c>
      <c r="C94" s="209">
        <f t="shared" si="44"/>
        <v>53433.333333333336</v>
      </c>
      <c r="D94" s="176">
        <f t="shared" si="45"/>
        <v>87050</v>
      </c>
      <c r="E94" s="235">
        <f t="shared" si="45"/>
        <v>87033.333333333343</v>
      </c>
      <c r="F94" s="176">
        <f t="shared" si="45"/>
        <v>87050</v>
      </c>
      <c r="G94" s="176">
        <f t="shared" si="38"/>
        <v>16.666666666656965</v>
      </c>
      <c r="H94" s="176">
        <f t="shared" si="39"/>
        <v>100.01914975105322</v>
      </c>
    </row>
    <row r="95" spans="1:10" ht="21.95" customHeight="1">
      <c r="A95" s="73" t="s">
        <v>21</v>
      </c>
      <c r="B95" s="218">
        <v>8032</v>
      </c>
      <c r="C95" s="209">
        <f t="shared" si="44"/>
        <v>33327.777777777774</v>
      </c>
      <c r="D95" s="176">
        <f t="shared" si="44"/>
        <v>38072.222222222226</v>
      </c>
      <c r="E95" s="235">
        <f t="shared" ref="E95:F96" si="46">(E91/E83)/6*1000</f>
        <v>41043.589743589742</v>
      </c>
      <c r="F95" s="176">
        <f t="shared" si="46"/>
        <v>38072.222222222226</v>
      </c>
      <c r="G95" s="176">
        <f>F95-E95</f>
        <v>-2971.367521367516</v>
      </c>
      <c r="H95" s="176">
        <f t="shared" si="39"/>
        <v>92.760458965869105</v>
      </c>
    </row>
    <row r="96" spans="1:10" ht="21.95" customHeight="1">
      <c r="A96" s="73" t="s">
        <v>19</v>
      </c>
      <c r="B96" s="218">
        <v>8033</v>
      </c>
      <c r="C96" s="209">
        <f>(C92/C84)/6*1000</f>
        <v>17875.187265917604</v>
      </c>
      <c r="D96" s="176">
        <f t="shared" si="44"/>
        <v>19926.545893719805</v>
      </c>
      <c r="E96" s="235">
        <f t="shared" si="46"/>
        <v>19511.652739090063</v>
      </c>
      <c r="F96" s="176">
        <f t="shared" si="46"/>
        <v>19926.545893719805</v>
      </c>
      <c r="G96" s="176">
        <f t="shared" si="38"/>
        <v>414.89315462974264</v>
      </c>
      <c r="H96" s="176">
        <f t="shared" si="39"/>
        <v>102.12638652490232</v>
      </c>
    </row>
    <row r="97" spans="1:8" s="60" customFormat="1" ht="126" customHeight="1">
      <c r="A97" s="82" t="s">
        <v>215</v>
      </c>
      <c r="B97" s="83"/>
      <c r="C97" s="186"/>
      <c r="D97" s="288"/>
      <c r="E97" s="288"/>
      <c r="F97" s="84"/>
      <c r="G97" s="276" t="s">
        <v>246</v>
      </c>
      <c r="H97" s="276"/>
    </row>
    <row r="98" spans="1:8" s="60" customFormat="1" ht="29.25" customHeight="1">
      <c r="A98" s="221" t="s">
        <v>8</v>
      </c>
      <c r="B98" s="85"/>
      <c r="D98" s="289" t="s">
        <v>9</v>
      </c>
      <c r="E98" s="289"/>
      <c r="F98" s="86"/>
      <c r="G98" s="275" t="s">
        <v>13</v>
      </c>
      <c r="H98" s="275"/>
    </row>
    <row r="99" spans="1:8" s="60" customFormat="1">
      <c r="A99" s="4"/>
      <c r="E99" s="210"/>
      <c r="F99" s="1"/>
      <c r="G99" s="1"/>
      <c r="H99" s="1"/>
    </row>
    <row r="100" spans="1:8" s="60" customFormat="1">
      <c r="A100" s="4"/>
      <c r="E100" s="210"/>
      <c r="F100" s="1"/>
      <c r="G100" s="1"/>
      <c r="H100" s="1"/>
    </row>
    <row r="101" spans="1:8" s="60" customFormat="1">
      <c r="A101" s="4"/>
      <c r="E101" s="210"/>
      <c r="F101" s="1"/>
      <c r="G101" s="1"/>
      <c r="H101" s="1"/>
    </row>
    <row r="102" spans="1:8" s="60" customFormat="1">
      <c r="A102" s="4"/>
      <c r="E102" s="210"/>
      <c r="F102" s="1"/>
      <c r="G102" s="1"/>
      <c r="H102" s="1"/>
    </row>
    <row r="103" spans="1:8" s="60" customFormat="1">
      <c r="A103" s="4"/>
      <c r="E103" s="210"/>
      <c r="F103" s="1"/>
      <c r="G103" s="1"/>
      <c r="H103" s="1"/>
    </row>
    <row r="104" spans="1:8" s="60" customFormat="1">
      <c r="A104" s="4"/>
      <c r="E104" s="210"/>
      <c r="F104" s="1"/>
      <c r="G104" s="1"/>
      <c r="H104" s="1"/>
    </row>
    <row r="105" spans="1:8" s="60" customFormat="1">
      <c r="A105" s="4"/>
      <c r="E105" s="210"/>
      <c r="F105" s="1"/>
      <c r="G105" s="1"/>
      <c r="H105" s="1"/>
    </row>
    <row r="106" spans="1:8" s="60" customFormat="1">
      <c r="A106" s="4"/>
      <c r="E106" s="210"/>
      <c r="F106" s="1"/>
      <c r="G106" s="1"/>
      <c r="H106" s="1"/>
    </row>
    <row r="107" spans="1:8" s="60" customFormat="1">
      <c r="A107" s="4"/>
      <c r="E107" s="210"/>
      <c r="F107" s="1"/>
      <c r="G107" s="1"/>
      <c r="H107" s="1"/>
    </row>
    <row r="108" spans="1:8" s="60" customFormat="1">
      <c r="A108" s="4"/>
      <c r="E108" s="210"/>
      <c r="F108" s="1"/>
      <c r="G108" s="1"/>
      <c r="H108" s="1"/>
    </row>
    <row r="109" spans="1:8" s="60" customFormat="1">
      <c r="A109" s="4"/>
      <c r="E109" s="210"/>
      <c r="F109" s="1"/>
      <c r="G109" s="1"/>
      <c r="H109" s="1"/>
    </row>
    <row r="110" spans="1:8" s="60" customFormat="1">
      <c r="A110" s="4"/>
      <c r="E110" s="210"/>
      <c r="F110" s="1"/>
      <c r="G110" s="1"/>
      <c r="H110" s="1"/>
    </row>
    <row r="111" spans="1:8" s="60" customFormat="1">
      <c r="A111" s="4"/>
      <c r="E111" s="210"/>
      <c r="F111" s="1"/>
      <c r="G111" s="1"/>
      <c r="H111" s="1"/>
    </row>
    <row r="112" spans="1:8" s="60" customFormat="1">
      <c r="A112" s="4"/>
      <c r="E112" s="210"/>
      <c r="F112" s="1"/>
      <c r="G112" s="1"/>
      <c r="H112" s="1"/>
    </row>
    <row r="113" spans="1:8" s="60" customFormat="1">
      <c r="A113" s="4"/>
      <c r="E113" s="210"/>
      <c r="F113" s="1"/>
      <c r="G113" s="1"/>
      <c r="H113" s="1"/>
    </row>
    <row r="114" spans="1:8" s="60" customFormat="1">
      <c r="A114" s="4"/>
      <c r="E114" s="210"/>
      <c r="F114" s="1"/>
      <c r="G114" s="1"/>
      <c r="H114" s="1"/>
    </row>
    <row r="115" spans="1:8" s="60" customFormat="1">
      <c r="A115" s="4"/>
      <c r="E115" s="210"/>
      <c r="F115" s="1"/>
      <c r="G115" s="1"/>
      <c r="H115" s="1"/>
    </row>
    <row r="116" spans="1:8" s="60" customFormat="1">
      <c r="A116" s="4"/>
      <c r="E116" s="210"/>
      <c r="F116" s="1"/>
      <c r="G116" s="1"/>
      <c r="H116" s="1"/>
    </row>
    <row r="117" spans="1:8" s="60" customFormat="1">
      <c r="A117" s="4"/>
      <c r="E117" s="210"/>
      <c r="F117" s="1"/>
      <c r="G117" s="1"/>
      <c r="H117" s="1"/>
    </row>
    <row r="118" spans="1:8" s="60" customFormat="1">
      <c r="A118" s="4"/>
      <c r="E118" s="210"/>
      <c r="F118" s="1"/>
      <c r="G118" s="1"/>
      <c r="H118" s="1"/>
    </row>
    <row r="119" spans="1:8" s="60" customFormat="1">
      <c r="A119" s="4"/>
      <c r="E119" s="210"/>
      <c r="F119" s="1"/>
      <c r="G119" s="1"/>
      <c r="H119" s="1"/>
    </row>
    <row r="120" spans="1:8" s="60" customFormat="1">
      <c r="A120" s="4"/>
      <c r="E120" s="210"/>
      <c r="F120" s="1"/>
      <c r="G120" s="1"/>
      <c r="H120" s="1"/>
    </row>
    <row r="121" spans="1:8" s="60" customFormat="1">
      <c r="A121" s="4"/>
      <c r="E121" s="210"/>
      <c r="F121" s="1"/>
      <c r="G121" s="1"/>
      <c r="H121" s="1"/>
    </row>
    <row r="122" spans="1:8" s="60" customFormat="1">
      <c r="A122" s="4"/>
      <c r="E122" s="210"/>
      <c r="F122" s="1"/>
      <c r="G122" s="1"/>
      <c r="H122" s="1"/>
    </row>
    <row r="123" spans="1:8" s="60" customFormat="1">
      <c r="A123" s="4"/>
      <c r="E123" s="210"/>
      <c r="F123" s="1"/>
      <c r="G123" s="1"/>
      <c r="H123" s="1"/>
    </row>
    <row r="124" spans="1:8" s="60" customFormat="1">
      <c r="A124" s="4"/>
      <c r="E124" s="210"/>
      <c r="F124" s="1"/>
      <c r="G124" s="1"/>
      <c r="H124" s="1"/>
    </row>
    <row r="125" spans="1:8" s="60" customFormat="1">
      <c r="A125" s="4"/>
      <c r="E125" s="210"/>
      <c r="F125" s="1"/>
      <c r="G125" s="1"/>
      <c r="H125" s="1"/>
    </row>
    <row r="126" spans="1:8" s="60" customFormat="1">
      <c r="A126" s="4"/>
      <c r="E126" s="210"/>
      <c r="F126" s="1"/>
      <c r="G126" s="1"/>
      <c r="H126" s="1"/>
    </row>
    <row r="127" spans="1:8" s="60" customFormat="1">
      <c r="A127" s="4"/>
      <c r="E127" s="210"/>
      <c r="F127" s="1"/>
      <c r="G127" s="1"/>
      <c r="H127" s="1"/>
    </row>
    <row r="128" spans="1:8" s="60" customFormat="1">
      <c r="A128" s="4"/>
      <c r="E128" s="210"/>
      <c r="F128" s="1"/>
      <c r="G128" s="1"/>
      <c r="H128" s="1"/>
    </row>
    <row r="129" spans="1:8" s="60" customFormat="1">
      <c r="A129" s="4"/>
      <c r="E129" s="210"/>
      <c r="F129" s="1"/>
      <c r="G129" s="1"/>
      <c r="H129" s="1"/>
    </row>
    <row r="130" spans="1:8" s="60" customFormat="1">
      <c r="A130" s="4"/>
      <c r="E130" s="210"/>
      <c r="F130" s="1"/>
      <c r="G130" s="1"/>
      <c r="H130" s="1"/>
    </row>
    <row r="131" spans="1:8" s="60" customFormat="1">
      <c r="A131" s="4"/>
      <c r="E131" s="210"/>
      <c r="F131" s="1"/>
      <c r="G131" s="1"/>
      <c r="H131" s="1"/>
    </row>
    <row r="132" spans="1:8" s="60" customFormat="1">
      <c r="A132" s="4"/>
      <c r="E132" s="210"/>
      <c r="F132" s="1"/>
      <c r="G132" s="1"/>
      <c r="H132" s="1"/>
    </row>
    <row r="133" spans="1:8" s="60" customFormat="1">
      <c r="A133" s="4"/>
      <c r="E133" s="210"/>
      <c r="F133" s="1"/>
      <c r="G133" s="1"/>
      <c r="H133" s="1"/>
    </row>
    <row r="134" spans="1:8" s="60" customFormat="1">
      <c r="A134" s="4"/>
      <c r="E134" s="210"/>
      <c r="F134" s="1"/>
      <c r="G134" s="1"/>
      <c r="H134" s="1"/>
    </row>
    <row r="135" spans="1:8" s="60" customFormat="1">
      <c r="A135" s="4"/>
      <c r="E135" s="210"/>
      <c r="F135" s="1"/>
      <c r="G135" s="1"/>
      <c r="H135" s="1"/>
    </row>
    <row r="136" spans="1:8" s="60" customFormat="1">
      <c r="A136" s="4"/>
      <c r="E136" s="210"/>
      <c r="F136" s="1"/>
      <c r="G136" s="1"/>
      <c r="H136" s="1"/>
    </row>
    <row r="137" spans="1:8" s="60" customFormat="1">
      <c r="A137" s="4"/>
      <c r="E137" s="210"/>
      <c r="F137" s="1"/>
      <c r="G137" s="1"/>
      <c r="H137" s="1"/>
    </row>
    <row r="138" spans="1:8" s="60" customFormat="1">
      <c r="A138" s="4"/>
      <c r="E138" s="210"/>
      <c r="F138" s="1"/>
      <c r="G138" s="1"/>
      <c r="H138" s="1"/>
    </row>
    <row r="139" spans="1:8" s="60" customFormat="1">
      <c r="A139" s="4"/>
      <c r="E139" s="210"/>
      <c r="F139" s="1"/>
      <c r="G139" s="1"/>
      <c r="H139" s="1"/>
    </row>
    <row r="140" spans="1:8" s="60" customFormat="1">
      <c r="A140" s="4"/>
      <c r="E140" s="210"/>
      <c r="F140" s="1"/>
      <c r="G140" s="1"/>
      <c r="H140" s="1"/>
    </row>
    <row r="141" spans="1:8" s="60" customFormat="1">
      <c r="A141" s="4"/>
      <c r="E141" s="210"/>
      <c r="F141" s="1"/>
      <c r="G141" s="1"/>
      <c r="H141" s="1"/>
    </row>
    <row r="142" spans="1:8" s="60" customFormat="1">
      <c r="A142" s="4"/>
      <c r="E142" s="210"/>
      <c r="F142" s="1"/>
      <c r="G142" s="1"/>
      <c r="H142" s="1"/>
    </row>
    <row r="143" spans="1:8" s="60" customFormat="1">
      <c r="A143" s="4"/>
      <c r="E143" s="210"/>
      <c r="F143" s="1"/>
      <c r="G143" s="1"/>
      <c r="H143" s="1"/>
    </row>
    <row r="144" spans="1:8" s="60" customFormat="1">
      <c r="A144" s="4"/>
      <c r="E144" s="210"/>
      <c r="F144" s="1"/>
      <c r="G144" s="1"/>
      <c r="H144" s="1"/>
    </row>
    <row r="145" spans="1:8" s="60" customFormat="1">
      <c r="A145" s="4"/>
      <c r="E145" s="210"/>
      <c r="F145" s="1"/>
      <c r="G145" s="1"/>
      <c r="H145" s="1"/>
    </row>
    <row r="146" spans="1:8" s="60" customFormat="1">
      <c r="A146" s="4"/>
      <c r="E146" s="210"/>
      <c r="F146" s="1"/>
      <c r="G146" s="1"/>
      <c r="H146" s="1"/>
    </row>
    <row r="147" spans="1:8" s="60" customFormat="1">
      <c r="A147" s="4"/>
      <c r="E147" s="210"/>
      <c r="F147" s="1"/>
      <c r="G147" s="1"/>
      <c r="H147" s="1"/>
    </row>
    <row r="148" spans="1:8" s="60" customFormat="1">
      <c r="A148" s="4"/>
      <c r="E148" s="210"/>
      <c r="F148" s="1"/>
      <c r="G148" s="1"/>
      <c r="H148" s="1"/>
    </row>
    <row r="149" spans="1:8" s="60" customFormat="1">
      <c r="A149" s="4"/>
      <c r="E149" s="210"/>
      <c r="F149" s="1"/>
      <c r="G149" s="1"/>
      <c r="H149" s="1"/>
    </row>
    <row r="150" spans="1:8" s="60" customFormat="1">
      <c r="A150" s="4"/>
      <c r="E150" s="210"/>
      <c r="F150" s="1"/>
      <c r="G150" s="1"/>
      <c r="H150" s="1"/>
    </row>
    <row r="151" spans="1:8" s="60" customFormat="1">
      <c r="A151" s="4"/>
      <c r="E151" s="210"/>
      <c r="F151" s="1"/>
      <c r="G151" s="1"/>
      <c r="H151" s="1"/>
    </row>
    <row r="152" spans="1:8" s="60" customFormat="1">
      <c r="A152" s="4"/>
      <c r="E152" s="210"/>
      <c r="F152" s="1"/>
      <c r="G152" s="1"/>
      <c r="H152" s="1"/>
    </row>
    <row r="153" spans="1:8" s="60" customFormat="1">
      <c r="A153" s="4"/>
      <c r="E153" s="210"/>
      <c r="F153" s="1"/>
      <c r="G153" s="1"/>
      <c r="H153" s="1"/>
    </row>
    <row r="154" spans="1:8" s="60" customFormat="1">
      <c r="A154" s="4"/>
      <c r="E154" s="210"/>
      <c r="F154" s="1"/>
      <c r="G154" s="1"/>
      <c r="H154" s="1"/>
    </row>
    <row r="155" spans="1:8" s="60" customFormat="1">
      <c r="A155" s="4"/>
      <c r="E155" s="210"/>
      <c r="F155" s="1"/>
      <c r="G155" s="1"/>
      <c r="H155" s="1"/>
    </row>
    <row r="156" spans="1:8" s="60" customFormat="1">
      <c r="A156" s="4"/>
      <c r="E156" s="210"/>
      <c r="F156" s="1"/>
      <c r="G156" s="1"/>
      <c r="H156" s="1"/>
    </row>
    <row r="157" spans="1:8" s="60" customFormat="1">
      <c r="A157" s="4"/>
      <c r="E157" s="210"/>
      <c r="F157" s="1"/>
      <c r="G157" s="1"/>
      <c r="H157" s="1"/>
    </row>
    <row r="158" spans="1:8" s="60" customFormat="1">
      <c r="A158" s="4"/>
      <c r="E158" s="210"/>
      <c r="F158" s="1"/>
      <c r="G158" s="1"/>
      <c r="H158" s="1"/>
    </row>
    <row r="159" spans="1:8" s="60" customFormat="1">
      <c r="A159" s="4"/>
      <c r="E159" s="210"/>
      <c r="F159" s="1"/>
      <c r="G159" s="1"/>
      <c r="H159" s="1"/>
    </row>
    <row r="160" spans="1:8" s="60" customFormat="1">
      <c r="A160" s="4"/>
      <c r="E160" s="210"/>
      <c r="F160" s="1"/>
      <c r="G160" s="1"/>
      <c r="H160" s="1"/>
    </row>
    <row r="161" spans="1:8" s="60" customFormat="1">
      <c r="A161" s="4"/>
      <c r="E161" s="210"/>
      <c r="F161" s="1"/>
      <c r="G161" s="1"/>
      <c r="H161" s="1"/>
    </row>
    <row r="162" spans="1:8" s="60" customFormat="1">
      <c r="A162" s="4"/>
      <c r="E162" s="210"/>
      <c r="F162" s="1"/>
      <c r="G162" s="1"/>
      <c r="H162" s="1"/>
    </row>
    <row r="163" spans="1:8" s="60" customFormat="1">
      <c r="A163" s="4"/>
      <c r="E163" s="210"/>
      <c r="F163" s="1"/>
      <c r="G163" s="1"/>
      <c r="H163" s="1"/>
    </row>
    <row r="164" spans="1:8" s="60" customFormat="1">
      <c r="A164" s="4"/>
      <c r="E164" s="210"/>
      <c r="F164" s="1"/>
      <c r="G164" s="1"/>
      <c r="H164" s="1"/>
    </row>
    <row r="165" spans="1:8" s="60" customFormat="1">
      <c r="A165" s="4"/>
      <c r="E165" s="210"/>
      <c r="F165" s="1"/>
      <c r="G165" s="1"/>
      <c r="H165" s="1"/>
    </row>
    <row r="166" spans="1:8" s="60" customFormat="1">
      <c r="A166" s="4"/>
      <c r="E166" s="210"/>
      <c r="F166" s="1"/>
      <c r="G166" s="1"/>
      <c r="H166" s="1"/>
    </row>
    <row r="167" spans="1:8" s="60" customFormat="1">
      <c r="A167" s="4"/>
      <c r="E167" s="210"/>
      <c r="F167" s="1"/>
      <c r="G167" s="1"/>
      <c r="H167" s="1"/>
    </row>
    <row r="168" spans="1:8" s="60" customFormat="1">
      <c r="A168" s="4"/>
      <c r="E168" s="210"/>
      <c r="F168" s="1"/>
      <c r="G168" s="1"/>
      <c r="H168" s="1"/>
    </row>
    <row r="169" spans="1:8" s="60" customFormat="1">
      <c r="A169" s="4"/>
      <c r="E169" s="210"/>
      <c r="F169" s="1"/>
      <c r="G169" s="1"/>
      <c r="H169" s="1"/>
    </row>
    <row r="170" spans="1:8" s="60" customFormat="1">
      <c r="A170" s="4"/>
      <c r="E170" s="210"/>
      <c r="F170" s="1"/>
      <c r="G170" s="1"/>
      <c r="H170" s="1"/>
    </row>
    <row r="171" spans="1:8" s="60" customFormat="1">
      <c r="A171" s="4"/>
      <c r="E171" s="210"/>
      <c r="F171" s="1"/>
      <c r="G171" s="1"/>
      <c r="H171" s="1"/>
    </row>
    <row r="172" spans="1:8" s="60" customFormat="1">
      <c r="A172" s="4"/>
      <c r="E172" s="210"/>
      <c r="F172" s="1"/>
      <c r="G172" s="1"/>
      <c r="H172" s="1"/>
    </row>
    <row r="173" spans="1:8" s="60" customFormat="1">
      <c r="A173" s="4"/>
      <c r="E173" s="210"/>
      <c r="F173" s="1"/>
      <c r="G173" s="1"/>
      <c r="H173" s="1"/>
    </row>
    <row r="174" spans="1:8" s="60" customFormat="1">
      <c r="A174" s="4"/>
      <c r="E174" s="210"/>
      <c r="F174" s="1"/>
      <c r="G174" s="1"/>
      <c r="H174" s="1"/>
    </row>
    <row r="175" spans="1:8" s="60" customFormat="1">
      <c r="A175" s="4"/>
      <c r="E175" s="210"/>
      <c r="F175" s="1"/>
      <c r="G175" s="1"/>
      <c r="H175" s="1"/>
    </row>
    <row r="176" spans="1:8" s="60" customFormat="1">
      <c r="A176" s="4"/>
      <c r="E176" s="210"/>
      <c r="F176" s="1"/>
      <c r="G176" s="1"/>
      <c r="H176" s="1"/>
    </row>
    <row r="177" spans="1:8" s="60" customFormat="1">
      <c r="A177" s="4"/>
      <c r="E177" s="210"/>
      <c r="F177" s="1"/>
      <c r="G177" s="1"/>
      <c r="H177" s="1"/>
    </row>
    <row r="178" spans="1:8" s="60" customFormat="1">
      <c r="A178" s="4"/>
      <c r="E178" s="210"/>
      <c r="F178" s="1"/>
      <c r="G178" s="1"/>
      <c r="H178" s="1"/>
    </row>
    <row r="179" spans="1:8" s="60" customFormat="1">
      <c r="A179" s="4"/>
      <c r="E179" s="210"/>
      <c r="F179" s="1"/>
      <c r="G179" s="1"/>
      <c r="H179" s="1"/>
    </row>
    <row r="180" spans="1:8" s="60" customFormat="1">
      <c r="A180" s="4"/>
      <c r="E180" s="210"/>
      <c r="F180" s="1"/>
      <c r="G180" s="1"/>
      <c r="H180" s="1"/>
    </row>
    <row r="181" spans="1:8" s="60" customFormat="1">
      <c r="A181" s="4"/>
      <c r="E181" s="210"/>
      <c r="F181" s="1"/>
      <c r="G181" s="1"/>
      <c r="H181" s="1"/>
    </row>
    <row r="182" spans="1:8" s="60" customFormat="1">
      <c r="A182" s="4"/>
      <c r="E182" s="210"/>
      <c r="F182" s="1"/>
      <c r="G182" s="1"/>
      <c r="H182" s="1"/>
    </row>
    <row r="183" spans="1:8" s="60" customFormat="1">
      <c r="A183" s="4"/>
      <c r="E183" s="210"/>
      <c r="F183" s="1"/>
      <c r="G183" s="1"/>
      <c r="H183" s="1"/>
    </row>
    <row r="184" spans="1:8" s="60" customFormat="1">
      <c r="A184" s="4"/>
      <c r="E184" s="210"/>
      <c r="F184" s="1"/>
      <c r="G184" s="1"/>
      <c r="H184" s="1"/>
    </row>
    <row r="185" spans="1:8" s="60" customFormat="1">
      <c r="A185" s="4"/>
      <c r="E185" s="210"/>
      <c r="F185" s="1"/>
      <c r="G185" s="1"/>
      <c r="H185" s="1"/>
    </row>
    <row r="186" spans="1:8" s="60" customFormat="1">
      <c r="A186" s="4"/>
      <c r="E186" s="210"/>
      <c r="F186" s="1"/>
      <c r="G186" s="1"/>
      <c r="H186" s="1"/>
    </row>
    <row r="187" spans="1:8" s="60" customFormat="1">
      <c r="A187" s="4"/>
      <c r="E187" s="210"/>
      <c r="F187" s="1"/>
      <c r="G187" s="1"/>
      <c r="H187" s="1"/>
    </row>
    <row r="188" spans="1:8" s="60" customFormat="1">
      <c r="A188" s="4"/>
      <c r="E188" s="210"/>
      <c r="F188" s="1"/>
      <c r="G188" s="1"/>
      <c r="H188" s="1"/>
    </row>
    <row r="189" spans="1:8" s="60" customFormat="1">
      <c r="A189" s="4"/>
      <c r="E189" s="210"/>
      <c r="F189" s="1"/>
      <c r="G189" s="1"/>
      <c r="H189" s="1"/>
    </row>
    <row r="190" spans="1:8" s="60" customFormat="1">
      <c r="A190" s="4"/>
      <c r="E190" s="210"/>
      <c r="F190" s="1"/>
      <c r="G190" s="1"/>
      <c r="H190" s="1"/>
    </row>
    <row r="191" spans="1:8" s="60" customFormat="1">
      <c r="A191" s="4"/>
      <c r="E191" s="210"/>
      <c r="F191" s="1"/>
      <c r="G191" s="1"/>
      <c r="H191" s="1"/>
    </row>
    <row r="192" spans="1:8" s="60" customFormat="1">
      <c r="A192" s="4"/>
      <c r="E192" s="210"/>
      <c r="F192" s="1"/>
      <c r="G192" s="1"/>
      <c r="H192" s="1"/>
    </row>
    <row r="193" spans="1:8" s="60" customFormat="1">
      <c r="A193" s="4"/>
      <c r="E193" s="210"/>
      <c r="F193" s="1"/>
      <c r="G193" s="1"/>
      <c r="H193" s="1"/>
    </row>
    <row r="194" spans="1:8" s="60" customFormat="1">
      <c r="A194" s="4"/>
      <c r="E194" s="210"/>
      <c r="F194" s="1"/>
      <c r="G194" s="1"/>
      <c r="H194" s="1"/>
    </row>
    <row r="195" spans="1:8" s="60" customFormat="1">
      <c r="A195" s="4"/>
      <c r="E195" s="210"/>
      <c r="F195" s="1"/>
      <c r="G195" s="1"/>
      <c r="H195" s="1"/>
    </row>
    <row r="196" spans="1:8" s="60" customFormat="1">
      <c r="A196" s="4"/>
      <c r="E196" s="210"/>
      <c r="F196" s="1"/>
      <c r="G196" s="1"/>
      <c r="H196" s="1"/>
    </row>
    <row r="197" spans="1:8" s="60" customFormat="1">
      <c r="A197" s="4"/>
      <c r="E197" s="210"/>
      <c r="F197" s="1"/>
      <c r="G197" s="1"/>
      <c r="H197" s="1"/>
    </row>
    <row r="198" spans="1:8" s="60" customFormat="1">
      <c r="A198" s="4"/>
      <c r="E198" s="210"/>
      <c r="F198" s="1"/>
      <c r="G198" s="1"/>
      <c r="H198" s="1"/>
    </row>
    <row r="199" spans="1:8" s="60" customFormat="1">
      <c r="A199" s="4"/>
      <c r="E199" s="210"/>
      <c r="F199" s="1"/>
      <c r="G199" s="1"/>
      <c r="H199" s="1"/>
    </row>
    <row r="200" spans="1:8" s="60" customFormat="1">
      <c r="A200" s="4"/>
      <c r="E200" s="210"/>
      <c r="F200" s="1"/>
      <c r="G200" s="1"/>
      <c r="H200" s="1"/>
    </row>
    <row r="201" spans="1:8" s="60" customFormat="1">
      <c r="A201" s="4"/>
      <c r="E201" s="210"/>
      <c r="F201" s="1"/>
      <c r="G201" s="1"/>
      <c r="H201" s="1"/>
    </row>
    <row r="202" spans="1:8" s="60" customFormat="1">
      <c r="A202" s="4"/>
      <c r="E202" s="210"/>
      <c r="F202" s="1"/>
      <c r="G202" s="1"/>
      <c r="H202" s="1"/>
    </row>
    <row r="203" spans="1:8" s="60" customFormat="1">
      <c r="A203" s="4"/>
      <c r="E203" s="210"/>
      <c r="F203" s="1"/>
      <c r="G203" s="1"/>
      <c r="H203" s="1"/>
    </row>
    <row r="204" spans="1:8" s="60" customFormat="1">
      <c r="A204" s="4"/>
      <c r="E204" s="210"/>
      <c r="F204" s="1"/>
      <c r="G204" s="1"/>
      <c r="H204" s="1"/>
    </row>
    <row r="205" spans="1:8" s="60" customFormat="1">
      <c r="A205" s="4"/>
      <c r="E205" s="210"/>
      <c r="F205" s="1"/>
      <c r="G205" s="1"/>
      <c r="H205" s="1"/>
    </row>
    <row r="206" spans="1:8" s="60" customFormat="1">
      <c r="A206" s="4"/>
      <c r="E206" s="210"/>
      <c r="F206" s="1"/>
      <c r="G206" s="1"/>
      <c r="H206" s="1"/>
    </row>
    <row r="207" spans="1:8" s="60" customFormat="1">
      <c r="A207" s="4"/>
      <c r="E207" s="210"/>
      <c r="F207" s="1"/>
      <c r="G207" s="1"/>
      <c r="H207" s="1"/>
    </row>
    <row r="208" spans="1:8" s="60" customFormat="1">
      <c r="A208" s="4"/>
      <c r="E208" s="210"/>
      <c r="F208" s="1"/>
      <c r="G208" s="1"/>
      <c r="H208" s="1"/>
    </row>
    <row r="209" spans="1:8" s="60" customFormat="1">
      <c r="A209" s="4"/>
      <c r="E209" s="210"/>
      <c r="F209" s="1"/>
      <c r="G209" s="1"/>
      <c r="H209" s="1"/>
    </row>
    <row r="210" spans="1:8" s="60" customFormat="1">
      <c r="A210" s="4"/>
      <c r="E210" s="210"/>
      <c r="F210" s="1"/>
      <c r="G210" s="1"/>
      <c r="H210" s="1"/>
    </row>
    <row r="211" spans="1:8" s="60" customFormat="1">
      <c r="A211" s="4"/>
      <c r="E211" s="210"/>
      <c r="F211" s="1"/>
      <c r="G211" s="1"/>
      <c r="H211" s="1"/>
    </row>
    <row r="212" spans="1:8" s="60" customFormat="1">
      <c r="A212" s="4"/>
      <c r="E212" s="210"/>
      <c r="F212" s="1"/>
      <c r="G212" s="1"/>
      <c r="H212" s="1"/>
    </row>
    <row r="213" spans="1:8" s="60" customFormat="1">
      <c r="A213" s="4"/>
      <c r="E213" s="210"/>
      <c r="F213" s="1"/>
      <c r="G213" s="1"/>
      <c r="H213" s="1"/>
    </row>
    <row r="214" spans="1:8" s="60" customFormat="1">
      <c r="A214" s="4"/>
      <c r="E214" s="210"/>
      <c r="F214" s="1"/>
      <c r="G214" s="1"/>
      <c r="H214" s="1"/>
    </row>
    <row r="215" spans="1:8" s="60" customFormat="1">
      <c r="A215" s="4"/>
      <c r="E215" s="210"/>
      <c r="F215" s="1"/>
      <c r="G215" s="1"/>
      <c r="H215" s="1"/>
    </row>
    <row r="216" spans="1:8" s="60" customFormat="1">
      <c r="A216" s="4"/>
      <c r="E216" s="210"/>
      <c r="F216" s="1"/>
      <c r="G216" s="1"/>
      <c r="H216" s="1"/>
    </row>
    <row r="217" spans="1:8" s="60" customFormat="1">
      <c r="A217" s="4"/>
      <c r="E217" s="210"/>
      <c r="F217" s="1"/>
      <c r="G217" s="1"/>
      <c r="H217" s="1"/>
    </row>
    <row r="218" spans="1:8" s="60" customFormat="1">
      <c r="A218" s="4"/>
      <c r="E218" s="210"/>
      <c r="F218" s="1"/>
      <c r="G218" s="1"/>
      <c r="H218" s="1"/>
    </row>
    <row r="219" spans="1:8" s="60" customFormat="1">
      <c r="A219" s="4"/>
      <c r="E219" s="210"/>
      <c r="F219" s="1"/>
      <c r="G219" s="1"/>
      <c r="H219" s="1"/>
    </row>
    <row r="220" spans="1:8" s="60" customFormat="1">
      <c r="A220" s="4"/>
      <c r="E220" s="210"/>
      <c r="F220" s="1"/>
      <c r="G220" s="1"/>
      <c r="H220" s="1"/>
    </row>
    <row r="221" spans="1:8" s="60" customFormat="1">
      <c r="A221" s="4"/>
      <c r="E221" s="210"/>
      <c r="F221" s="1"/>
      <c r="G221" s="1"/>
      <c r="H221" s="1"/>
    </row>
    <row r="222" spans="1:8" s="60" customFormat="1">
      <c r="A222" s="4"/>
      <c r="E222" s="210"/>
      <c r="F222" s="1"/>
      <c r="G222" s="1"/>
      <c r="H222" s="1"/>
    </row>
    <row r="223" spans="1:8" s="60" customFormat="1">
      <c r="A223" s="4"/>
      <c r="E223" s="210"/>
      <c r="F223" s="1"/>
      <c r="G223" s="1"/>
      <c r="H223" s="1"/>
    </row>
    <row r="224" spans="1:8" s="60" customFormat="1">
      <c r="A224" s="4"/>
      <c r="E224" s="210"/>
      <c r="F224" s="1"/>
      <c r="G224" s="1"/>
      <c r="H224" s="1"/>
    </row>
    <row r="225" spans="1:8" s="60" customFormat="1">
      <c r="A225" s="4"/>
      <c r="E225" s="210"/>
      <c r="F225" s="1"/>
      <c r="G225" s="1"/>
      <c r="H225" s="1"/>
    </row>
    <row r="226" spans="1:8" s="60" customFormat="1">
      <c r="A226" s="4"/>
      <c r="E226" s="210"/>
      <c r="F226" s="1"/>
      <c r="G226" s="1"/>
      <c r="H226" s="1"/>
    </row>
    <row r="227" spans="1:8" s="60" customFormat="1">
      <c r="A227" s="4"/>
      <c r="E227" s="210"/>
      <c r="F227" s="1"/>
      <c r="G227" s="1"/>
      <c r="H227" s="1"/>
    </row>
    <row r="228" spans="1:8" s="60" customFormat="1">
      <c r="A228" s="4"/>
      <c r="E228" s="210"/>
      <c r="F228" s="1"/>
      <c r="G228" s="1"/>
      <c r="H228" s="1"/>
    </row>
    <row r="229" spans="1:8" s="60" customFormat="1">
      <c r="A229" s="4"/>
      <c r="E229" s="210"/>
      <c r="F229" s="1"/>
      <c r="G229" s="1"/>
      <c r="H229" s="1"/>
    </row>
    <row r="230" spans="1:8" s="60" customFormat="1">
      <c r="A230" s="4"/>
      <c r="E230" s="210"/>
      <c r="F230" s="1"/>
      <c r="G230" s="1"/>
      <c r="H230" s="1"/>
    </row>
    <row r="231" spans="1:8" s="60" customFormat="1">
      <c r="A231" s="4"/>
      <c r="E231" s="210"/>
      <c r="F231" s="1"/>
      <c r="G231" s="1"/>
      <c r="H231" s="1"/>
    </row>
    <row r="232" spans="1:8" s="60" customFormat="1">
      <c r="A232" s="4"/>
      <c r="E232" s="210"/>
      <c r="F232" s="1"/>
      <c r="G232" s="1"/>
      <c r="H232" s="1"/>
    </row>
    <row r="233" spans="1:8" s="60" customFormat="1">
      <c r="A233" s="4"/>
      <c r="E233" s="210"/>
      <c r="F233" s="1"/>
      <c r="G233" s="1"/>
      <c r="H233" s="1"/>
    </row>
    <row r="234" spans="1:8" s="60" customFormat="1">
      <c r="A234" s="4"/>
      <c r="E234" s="210"/>
      <c r="F234" s="1"/>
      <c r="G234" s="1"/>
      <c r="H234" s="1"/>
    </row>
    <row r="235" spans="1:8" s="60" customFormat="1">
      <c r="A235" s="4"/>
      <c r="E235" s="210"/>
      <c r="F235" s="1"/>
      <c r="G235" s="1"/>
      <c r="H235" s="1"/>
    </row>
    <row r="236" spans="1:8" s="60" customFormat="1">
      <c r="A236" s="4"/>
      <c r="E236" s="210"/>
      <c r="F236" s="1"/>
      <c r="G236" s="1"/>
      <c r="H236" s="1"/>
    </row>
    <row r="237" spans="1:8" s="60" customFormat="1">
      <c r="A237" s="4"/>
      <c r="E237" s="210"/>
      <c r="F237" s="1"/>
      <c r="G237" s="1"/>
      <c r="H237" s="1"/>
    </row>
    <row r="238" spans="1:8" s="60" customFormat="1">
      <c r="A238" s="4"/>
      <c r="E238" s="210"/>
      <c r="F238" s="1"/>
      <c r="G238" s="1"/>
      <c r="H238" s="1"/>
    </row>
    <row r="239" spans="1:8" s="60" customFormat="1">
      <c r="A239" s="4"/>
      <c r="E239" s="210"/>
      <c r="F239" s="1"/>
      <c r="G239" s="1"/>
      <c r="H239" s="1"/>
    </row>
    <row r="240" spans="1:8" s="60" customFormat="1">
      <c r="A240" s="4"/>
      <c r="E240" s="210"/>
      <c r="F240" s="1"/>
      <c r="G240" s="1"/>
      <c r="H240" s="1"/>
    </row>
    <row r="241" spans="1:8" s="60" customFormat="1">
      <c r="A241" s="4"/>
      <c r="E241" s="210"/>
      <c r="F241" s="1"/>
      <c r="G241" s="1"/>
      <c r="H241" s="1"/>
    </row>
    <row r="242" spans="1:8" s="60" customFormat="1">
      <c r="A242" s="4"/>
      <c r="E242" s="210"/>
      <c r="F242" s="1"/>
      <c r="G242" s="1"/>
      <c r="H242" s="1"/>
    </row>
    <row r="243" spans="1:8" s="60" customFormat="1">
      <c r="A243" s="4"/>
      <c r="E243" s="210"/>
      <c r="F243" s="1"/>
      <c r="G243" s="1"/>
      <c r="H243" s="1"/>
    </row>
    <row r="244" spans="1:8" s="60" customFormat="1">
      <c r="A244" s="4"/>
      <c r="E244" s="210"/>
      <c r="F244" s="1"/>
      <c r="G244" s="1"/>
      <c r="H244" s="1"/>
    </row>
    <row r="245" spans="1:8" s="60" customFormat="1">
      <c r="A245" s="4"/>
      <c r="E245" s="210"/>
      <c r="F245" s="1"/>
      <c r="G245" s="1"/>
      <c r="H245" s="1"/>
    </row>
    <row r="246" spans="1:8" s="60" customFormat="1">
      <c r="A246" s="4"/>
      <c r="E246" s="210"/>
      <c r="F246" s="1"/>
      <c r="G246" s="1"/>
      <c r="H246" s="1"/>
    </row>
    <row r="247" spans="1:8" s="60" customFormat="1">
      <c r="A247" s="4"/>
      <c r="E247" s="210"/>
      <c r="F247" s="1"/>
      <c r="G247" s="1"/>
      <c r="H247" s="1"/>
    </row>
    <row r="248" spans="1:8" s="60" customFormat="1">
      <c r="A248" s="4"/>
      <c r="E248" s="210"/>
      <c r="F248" s="1"/>
      <c r="G248" s="1"/>
      <c r="H248" s="1"/>
    </row>
    <row r="249" spans="1:8" s="60" customFormat="1">
      <c r="A249" s="4"/>
      <c r="E249" s="210"/>
      <c r="F249" s="1"/>
      <c r="G249" s="1"/>
      <c r="H249" s="1"/>
    </row>
  </sheetData>
  <mergeCells count="22">
    <mergeCell ref="G98:H98"/>
    <mergeCell ref="G97:H97"/>
    <mergeCell ref="A78:H78"/>
    <mergeCell ref="C79:D79"/>
    <mergeCell ref="E79:E80"/>
    <mergeCell ref="F79:F80"/>
    <mergeCell ref="G79:G80"/>
    <mergeCell ref="H79:H80"/>
    <mergeCell ref="A79:A80"/>
    <mergeCell ref="B79:B80"/>
    <mergeCell ref="D97:E97"/>
    <mergeCell ref="D98:E98"/>
    <mergeCell ref="A2:H2"/>
    <mergeCell ref="A1:H1"/>
    <mergeCell ref="A51:H51"/>
    <mergeCell ref="A69:H69"/>
    <mergeCell ref="A4:A5"/>
    <mergeCell ref="B4:B5"/>
    <mergeCell ref="A7:H7"/>
    <mergeCell ref="E4:H4"/>
    <mergeCell ref="C4:D4"/>
    <mergeCell ref="A44:H44"/>
  </mergeCells>
  <phoneticPr fontId="3" type="noConversion"/>
  <printOptions horizontalCentered="1"/>
  <pageMargins left="0.39370078740157483" right="0.39370078740157483" top="0.78740157480314965" bottom="0.39370078740157483" header="0.39370078740157483" footer="0.19685039370078741"/>
  <pageSetup paperSize="9" scale="77" fitToHeight="6" orientation="landscape" verticalDpi="300" r:id="rId1"/>
  <headerFooter alignWithMargins="0"/>
  <ignoredErrors>
    <ignoredError sqref="B81:B8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</sheetPr>
  <dimension ref="A1:J212"/>
  <sheetViews>
    <sheetView view="pageBreakPreview" topLeftCell="A94" zoomScaleSheetLayoutView="100" workbookViewId="0">
      <selection activeCell="J63" sqref="J63"/>
    </sheetView>
  </sheetViews>
  <sheetFormatPr defaultRowHeight="18.75"/>
  <cols>
    <col min="1" max="1" width="4" style="157" customWidth="1"/>
    <col min="2" max="2" width="58.5703125" style="157" customWidth="1"/>
    <col min="3" max="3" width="8.7109375" style="160" customWidth="1"/>
    <col min="4" max="4" width="15.42578125" style="177" customWidth="1"/>
    <col min="5" max="5" width="15.42578125" style="211" customWidth="1"/>
    <col min="6" max="6" width="16.42578125" style="160" customWidth="1"/>
    <col min="7" max="7" width="14.5703125" style="158" customWidth="1"/>
    <col min="8" max="8" width="15.28515625" style="158" customWidth="1"/>
    <col min="9" max="9" width="16.85546875" style="157" customWidth="1"/>
    <col min="10" max="10" width="13" style="157" customWidth="1"/>
    <col min="11" max="11" width="11.85546875" style="157" customWidth="1"/>
    <col min="12" max="16384" width="9.140625" style="157"/>
  </cols>
  <sheetData>
    <row r="1" spans="1:10" ht="29.25" customHeight="1">
      <c r="A1" s="293" t="s">
        <v>84</v>
      </c>
      <c r="B1" s="293"/>
      <c r="C1" s="293"/>
      <c r="D1" s="293"/>
      <c r="E1" s="293"/>
      <c r="F1" s="293"/>
      <c r="G1" s="293"/>
      <c r="H1" s="293"/>
      <c r="I1" s="5"/>
      <c r="J1" s="5"/>
    </row>
    <row r="2" spans="1:10">
      <c r="A2" s="5"/>
      <c r="B2" s="188"/>
      <c r="C2" s="222"/>
      <c r="D2" s="223"/>
      <c r="E2" s="223"/>
      <c r="F2" s="223"/>
      <c r="G2" s="189"/>
      <c r="H2" s="189" t="s">
        <v>59</v>
      </c>
      <c r="I2" s="5"/>
      <c r="J2" s="5"/>
    </row>
    <row r="3" spans="1:10" s="158" customFormat="1" ht="60.75" customHeight="1">
      <c r="A3" s="29" t="s">
        <v>6</v>
      </c>
      <c r="B3" s="9" t="s">
        <v>20</v>
      </c>
      <c r="C3" s="29" t="s">
        <v>4</v>
      </c>
      <c r="D3" s="11" t="s">
        <v>326</v>
      </c>
      <c r="E3" s="10" t="s">
        <v>327</v>
      </c>
      <c r="F3" s="11" t="s">
        <v>328</v>
      </c>
      <c r="G3" s="11" t="s">
        <v>183</v>
      </c>
      <c r="H3" s="11" t="s">
        <v>184</v>
      </c>
      <c r="I3" s="189"/>
      <c r="J3" s="189"/>
    </row>
    <row r="4" spans="1:10" ht="19.5" customHeight="1">
      <c r="A4" s="190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156">
        <v>7</v>
      </c>
      <c r="H4" s="11">
        <v>8</v>
      </c>
      <c r="I4" s="5"/>
      <c r="J4" s="5"/>
    </row>
    <row r="5" spans="1:10" ht="27.75" customHeight="1">
      <c r="A5" s="297" t="s">
        <v>68</v>
      </c>
      <c r="B5" s="298"/>
      <c r="C5" s="9"/>
      <c r="D5" s="236">
        <f>D6+D12+D21+D23</f>
        <v>181741.9</v>
      </c>
      <c r="E5" s="236">
        <f>E6+E12+E21+E23</f>
        <v>188166.7</v>
      </c>
      <c r="F5" s="236">
        <f>F6+F12+F21+F23</f>
        <v>216794.6</v>
      </c>
      <c r="G5" s="191">
        <f t="shared" ref="G5:G12" si="0">F5-E5</f>
        <v>28627.899999999994</v>
      </c>
      <c r="H5" s="191">
        <f t="shared" ref="H5:H12" si="1">(F5/E5)*100</f>
        <v>115.21411599395641</v>
      </c>
      <c r="I5" s="237"/>
      <c r="J5" s="237"/>
    </row>
    <row r="6" spans="1:10" ht="42" customHeight="1">
      <c r="A6" s="299" t="s">
        <v>67</v>
      </c>
      <c r="B6" s="300"/>
      <c r="C6" s="13">
        <v>1000</v>
      </c>
      <c r="D6" s="184">
        <f>D7+D8+D9</f>
        <v>145461.19999999998</v>
      </c>
      <c r="E6" s="184">
        <f>E7+E8+E9+E10+E11</f>
        <v>163812.6</v>
      </c>
      <c r="F6" s="184">
        <f>F7+F8+F9+F10+F11</f>
        <v>181876.4</v>
      </c>
      <c r="G6" s="191">
        <f t="shared" si="0"/>
        <v>18063.799999999988</v>
      </c>
      <c r="H6" s="191">
        <f t="shared" si="1"/>
        <v>111.02711268852335</v>
      </c>
      <c r="I6" s="5"/>
      <c r="J6" s="5"/>
    </row>
    <row r="7" spans="1:10" ht="39" customHeight="1">
      <c r="A7" s="190">
        <v>1</v>
      </c>
      <c r="B7" s="16" t="s">
        <v>106</v>
      </c>
      <c r="C7" s="9"/>
      <c r="D7" s="180">
        <f>145380.1-66.1-56.7</f>
        <v>145257.29999999999</v>
      </c>
      <c r="E7" s="192">
        <v>163171.1</v>
      </c>
      <c r="F7" s="180">
        <v>181205.8</v>
      </c>
      <c r="G7" s="33">
        <f t="shared" si="0"/>
        <v>18034.699999999983</v>
      </c>
      <c r="H7" s="33">
        <f t="shared" si="1"/>
        <v>111.05263125639281</v>
      </c>
      <c r="I7" s="5"/>
      <c r="J7" s="5"/>
    </row>
    <row r="8" spans="1:10" ht="57.75" customHeight="1">
      <c r="A8" s="190">
        <v>2</v>
      </c>
      <c r="B8" s="16" t="s">
        <v>198</v>
      </c>
      <c r="C8" s="13"/>
      <c r="D8" s="180">
        <f>76.1+56.7</f>
        <v>132.80000000000001</v>
      </c>
      <c r="E8" s="192">
        <v>55.9</v>
      </c>
      <c r="F8" s="180">
        <v>70.400000000000006</v>
      </c>
      <c r="G8" s="33">
        <f t="shared" ref="G8:G9" si="2">F8-E8</f>
        <v>14.500000000000007</v>
      </c>
      <c r="H8" s="191">
        <f t="shared" ref="H8:H9" si="3">(F8/E8)*100</f>
        <v>125.9391771019678</v>
      </c>
      <c r="I8" s="5"/>
      <c r="J8" s="5"/>
    </row>
    <row r="9" spans="1:10" ht="35.25" customHeight="1">
      <c r="A9" s="193">
        <v>3</v>
      </c>
      <c r="B9" s="16" t="s">
        <v>289</v>
      </c>
      <c r="C9" s="13"/>
      <c r="D9" s="180">
        <v>71.099999999999994</v>
      </c>
      <c r="E9" s="192"/>
      <c r="F9" s="180">
        <v>47.2</v>
      </c>
      <c r="G9" s="33">
        <f t="shared" si="2"/>
        <v>47.2</v>
      </c>
      <c r="H9" s="194" t="e">
        <f t="shared" si="3"/>
        <v>#DIV/0!</v>
      </c>
      <c r="I9" s="5"/>
      <c r="J9" s="5"/>
    </row>
    <row r="10" spans="1:10" ht="94.5" customHeight="1">
      <c r="A10" s="195" t="s">
        <v>292</v>
      </c>
      <c r="B10" s="28" t="s">
        <v>288</v>
      </c>
      <c r="C10" s="13"/>
      <c r="D10" s="180"/>
      <c r="E10" s="192">
        <v>585.6</v>
      </c>
      <c r="F10" s="180">
        <v>552.70000000000005</v>
      </c>
      <c r="G10" s="33"/>
      <c r="H10" s="194"/>
      <c r="I10" s="5"/>
      <c r="J10" s="5"/>
    </row>
    <row r="11" spans="1:10" ht="27.75" customHeight="1">
      <c r="A11" s="195" t="s">
        <v>301</v>
      </c>
      <c r="B11" s="16" t="s">
        <v>324</v>
      </c>
      <c r="C11" s="13"/>
      <c r="D11" s="180"/>
      <c r="E11" s="192"/>
      <c r="F11" s="180">
        <v>0.3</v>
      </c>
      <c r="G11" s="33"/>
      <c r="H11" s="194"/>
      <c r="I11" s="5"/>
      <c r="J11" s="5"/>
    </row>
    <row r="12" spans="1:10" ht="30.75" customHeight="1">
      <c r="A12" s="299" t="s">
        <v>31</v>
      </c>
      <c r="B12" s="300"/>
      <c r="C12" s="13">
        <v>1040</v>
      </c>
      <c r="D12" s="184">
        <f>SUM(D13:D20)</f>
        <v>20301.2</v>
      </c>
      <c r="E12" s="184">
        <f>SUM(E13:E20)</f>
        <v>9175.6</v>
      </c>
      <c r="F12" s="184">
        <f>SUM(F13:F20)</f>
        <v>17373</v>
      </c>
      <c r="G12" s="191">
        <f t="shared" si="0"/>
        <v>8197.4</v>
      </c>
      <c r="H12" s="191">
        <f t="shared" si="1"/>
        <v>189.33911678800294</v>
      </c>
      <c r="I12" s="5"/>
      <c r="J12" s="5"/>
    </row>
    <row r="13" spans="1:10" ht="96" customHeight="1">
      <c r="A13" s="9">
        <v>1</v>
      </c>
      <c r="B13" s="28" t="s">
        <v>288</v>
      </c>
      <c r="C13" s="13"/>
      <c r="D13" s="180">
        <v>727.1</v>
      </c>
      <c r="E13" s="192"/>
      <c r="F13" s="180"/>
      <c r="G13" s="33">
        <f t="shared" ref="G13" si="4">F13-E13</f>
        <v>0</v>
      </c>
      <c r="H13" s="33" t="e">
        <f t="shared" ref="H13" si="5">(F13/E13)*100</f>
        <v>#DIV/0!</v>
      </c>
      <c r="I13" s="5"/>
      <c r="J13" s="5"/>
    </row>
    <row r="14" spans="1:10" ht="48" customHeight="1">
      <c r="A14" s="9">
        <v>2</v>
      </c>
      <c r="B14" s="196" t="s">
        <v>287</v>
      </c>
      <c r="C14" s="13"/>
      <c r="D14" s="180">
        <v>5549.3</v>
      </c>
      <c r="E14" s="192"/>
      <c r="F14" s="180">
        <v>250.1</v>
      </c>
      <c r="G14" s="33">
        <f t="shared" ref="G14" si="6">F14-E14</f>
        <v>250.1</v>
      </c>
      <c r="H14" s="93" t="e">
        <f t="shared" ref="H14" si="7">(F14/E14)*100</f>
        <v>#DIV/0!</v>
      </c>
      <c r="I14" s="5"/>
      <c r="J14" s="5"/>
    </row>
    <row r="15" spans="1:10" ht="45.75" customHeight="1">
      <c r="A15" s="9">
        <v>3</v>
      </c>
      <c r="B15" s="16" t="s">
        <v>286</v>
      </c>
      <c r="C15" s="13"/>
      <c r="D15" s="180">
        <v>7790.8</v>
      </c>
      <c r="E15" s="192">
        <v>9011.2000000000007</v>
      </c>
      <c r="F15" s="180">
        <v>10068.799999999999</v>
      </c>
      <c r="G15" s="33">
        <f t="shared" ref="G15:G89" si="8">F15-E15</f>
        <v>1057.5999999999985</v>
      </c>
      <c r="H15" s="33">
        <f t="shared" ref="H15:H89" si="9">(F15/E15)*100</f>
        <v>111.73650568181816</v>
      </c>
      <c r="I15" s="5"/>
      <c r="J15" s="5"/>
    </row>
    <row r="16" spans="1:10" ht="24.75" customHeight="1">
      <c r="A16" s="9">
        <v>4</v>
      </c>
      <c r="B16" s="16" t="s">
        <v>199</v>
      </c>
      <c r="C16" s="13"/>
      <c r="D16" s="180">
        <f>112.7+22.4</f>
        <v>135.1</v>
      </c>
      <c r="E16" s="238">
        <v>161.4</v>
      </c>
      <c r="F16" s="180">
        <v>139.19999999999999</v>
      </c>
      <c r="G16" s="33">
        <f t="shared" si="8"/>
        <v>-22.200000000000017</v>
      </c>
      <c r="H16" s="33">
        <f t="shared" si="9"/>
        <v>86.245353159851291</v>
      </c>
      <c r="I16" s="5"/>
      <c r="J16" s="5"/>
    </row>
    <row r="17" spans="1:10" ht="24.75" customHeight="1">
      <c r="A17" s="9">
        <v>5</v>
      </c>
      <c r="B17" s="16" t="s">
        <v>154</v>
      </c>
      <c r="C17" s="13"/>
      <c r="D17" s="180"/>
      <c r="E17" s="192">
        <v>3</v>
      </c>
      <c r="F17" s="180">
        <v>13.9</v>
      </c>
      <c r="G17" s="33">
        <f t="shared" si="8"/>
        <v>10.9</v>
      </c>
      <c r="H17" s="33">
        <f t="shared" si="9"/>
        <v>463.33333333333337</v>
      </c>
      <c r="I17" s="5"/>
      <c r="J17" s="5"/>
    </row>
    <row r="18" spans="1:10" ht="24.75" customHeight="1">
      <c r="A18" s="9">
        <v>6</v>
      </c>
      <c r="B18" s="16" t="s">
        <v>284</v>
      </c>
      <c r="C18" s="13"/>
      <c r="D18" s="180">
        <v>12.4</v>
      </c>
      <c r="E18" s="192"/>
      <c r="F18" s="180">
        <v>20</v>
      </c>
      <c r="G18" s="33">
        <f t="shared" si="8"/>
        <v>20</v>
      </c>
      <c r="H18" s="93" t="e">
        <f t="shared" si="9"/>
        <v>#DIV/0!</v>
      </c>
      <c r="I18" s="5"/>
      <c r="J18" s="5"/>
    </row>
    <row r="19" spans="1:10" ht="24.75" customHeight="1">
      <c r="A19" s="9">
        <v>7</v>
      </c>
      <c r="B19" s="16" t="s">
        <v>285</v>
      </c>
      <c r="C19" s="13"/>
      <c r="D19" s="180">
        <v>577.5</v>
      </c>
      <c r="E19" s="192"/>
      <c r="F19" s="180">
        <v>846.2</v>
      </c>
      <c r="G19" s="33">
        <f t="shared" si="8"/>
        <v>846.2</v>
      </c>
      <c r="H19" s="93" t="e">
        <f t="shared" si="9"/>
        <v>#DIV/0!</v>
      </c>
      <c r="I19" s="237"/>
      <c r="J19" s="5"/>
    </row>
    <row r="20" spans="1:10" ht="27.75" customHeight="1">
      <c r="A20" s="9">
        <v>8</v>
      </c>
      <c r="B20" s="16" t="s">
        <v>325</v>
      </c>
      <c r="C20" s="13"/>
      <c r="D20" s="180">
        <f>5465.4+66-22.4</f>
        <v>5509</v>
      </c>
      <c r="E20" s="180"/>
      <c r="F20" s="180">
        <v>6034.8</v>
      </c>
      <c r="G20" s="33">
        <f t="shared" si="8"/>
        <v>6034.8</v>
      </c>
      <c r="H20" s="93" t="e">
        <f t="shared" si="9"/>
        <v>#DIV/0!</v>
      </c>
      <c r="I20" s="5"/>
      <c r="J20" s="239"/>
    </row>
    <row r="21" spans="1:10" ht="26.25" customHeight="1">
      <c r="A21" s="301" t="s">
        <v>155</v>
      </c>
      <c r="B21" s="302"/>
      <c r="C21" s="13">
        <v>1130</v>
      </c>
      <c r="D21" s="184">
        <f>D22</f>
        <v>2190.3000000000002</v>
      </c>
      <c r="E21" s="184">
        <v>478.5</v>
      </c>
      <c r="F21" s="184">
        <f>F22</f>
        <v>1394.2</v>
      </c>
      <c r="G21" s="191">
        <f t="shared" si="8"/>
        <v>915.7</v>
      </c>
      <c r="H21" s="191">
        <f t="shared" si="9"/>
        <v>291.36886102403344</v>
      </c>
      <c r="I21" s="5"/>
      <c r="J21" s="5"/>
    </row>
    <row r="22" spans="1:10" ht="39.75" customHeight="1">
      <c r="A22" s="190">
        <v>1</v>
      </c>
      <c r="B22" s="16" t="s">
        <v>302</v>
      </c>
      <c r="C22" s="9"/>
      <c r="D22" s="180">
        <v>2190.3000000000002</v>
      </c>
      <c r="E22" s="192">
        <v>478.5</v>
      </c>
      <c r="F22" s="180">
        <v>1394.2</v>
      </c>
      <c r="G22" s="33">
        <f t="shared" si="8"/>
        <v>915.7</v>
      </c>
      <c r="H22" s="33">
        <f t="shared" si="9"/>
        <v>291.36886102403344</v>
      </c>
      <c r="I22" s="5"/>
      <c r="J22" s="239"/>
    </row>
    <row r="23" spans="1:10" ht="24.75" customHeight="1">
      <c r="A23" s="291" t="s">
        <v>23</v>
      </c>
      <c r="B23" s="292"/>
      <c r="C23" s="13">
        <v>1150</v>
      </c>
      <c r="D23" s="184">
        <f>D24+D25</f>
        <v>13789.2</v>
      </c>
      <c r="E23" s="184">
        <f t="shared" ref="E23" si="10">E24</f>
        <v>14700</v>
      </c>
      <c r="F23" s="184">
        <f>F24+F25</f>
        <v>16151</v>
      </c>
      <c r="G23" s="191">
        <f t="shared" si="8"/>
        <v>1451</v>
      </c>
      <c r="H23" s="191">
        <f t="shared" si="9"/>
        <v>109.87074829931973</v>
      </c>
      <c r="I23" s="5"/>
      <c r="J23" s="5"/>
    </row>
    <row r="24" spans="1:10" ht="39.75" customHeight="1">
      <c r="A24" s="9">
        <v>1</v>
      </c>
      <c r="B24" s="18" t="s">
        <v>109</v>
      </c>
      <c r="C24" s="13"/>
      <c r="D24" s="180">
        <v>13788.5</v>
      </c>
      <c r="E24" s="192">
        <v>14700</v>
      </c>
      <c r="F24" s="180">
        <v>16137.1</v>
      </c>
      <c r="G24" s="33">
        <f t="shared" si="8"/>
        <v>1437.1000000000004</v>
      </c>
      <c r="H24" s="33">
        <f t="shared" si="9"/>
        <v>109.77619047619046</v>
      </c>
      <c r="I24" s="5"/>
      <c r="J24" s="239"/>
    </row>
    <row r="25" spans="1:10" ht="21.75" customHeight="1">
      <c r="A25" s="114" t="s">
        <v>293</v>
      </c>
      <c r="B25" s="18" t="s">
        <v>294</v>
      </c>
      <c r="C25" s="13"/>
      <c r="D25" s="180">
        <v>0.7</v>
      </c>
      <c r="E25" s="192"/>
      <c r="F25" s="180">
        <v>13.9</v>
      </c>
      <c r="G25" s="33"/>
      <c r="H25" s="33"/>
      <c r="I25" s="5"/>
      <c r="J25" s="239"/>
    </row>
    <row r="26" spans="1:10" ht="22.5" customHeight="1">
      <c r="A26" s="297" t="s">
        <v>69</v>
      </c>
      <c r="B26" s="298"/>
      <c r="C26" s="13"/>
      <c r="D26" s="184"/>
      <c r="E26" s="184"/>
      <c r="F26" s="184"/>
      <c r="G26" s="191"/>
      <c r="H26" s="191"/>
      <c r="I26" s="5"/>
      <c r="J26" s="5"/>
    </row>
    <row r="27" spans="1:10" ht="41.25" customHeight="1">
      <c r="A27" s="299" t="s">
        <v>76</v>
      </c>
      <c r="B27" s="300"/>
      <c r="C27" s="13"/>
      <c r="D27" s="27"/>
      <c r="E27" s="27"/>
      <c r="F27" s="27"/>
      <c r="G27" s="191"/>
      <c r="H27" s="191"/>
      <c r="I27" s="5"/>
      <c r="J27" s="5"/>
    </row>
    <row r="28" spans="1:10" ht="27" customHeight="1">
      <c r="A28" s="291" t="s">
        <v>89</v>
      </c>
      <c r="B28" s="292"/>
      <c r="C28" s="172">
        <v>1011</v>
      </c>
      <c r="D28" s="184">
        <f>SUM(D29:D46)</f>
        <v>52219.700000000004</v>
      </c>
      <c r="E28" s="184">
        <f>SUM(E29:E46)</f>
        <v>61000.3</v>
      </c>
      <c r="F28" s="184">
        <f>SUM(F29:F46)</f>
        <v>62393.299999999988</v>
      </c>
      <c r="G28" s="191">
        <f t="shared" si="8"/>
        <v>1392.9999999999854</v>
      </c>
      <c r="H28" s="191">
        <f t="shared" si="9"/>
        <v>102.28359532658034</v>
      </c>
      <c r="I28" s="5"/>
      <c r="J28" s="5"/>
    </row>
    <row r="29" spans="1:10" ht="36.75" customHeight="1">
      <c r="A29" s="197"/>
      <c r="B29" s="28" t="s">
        <v>186</v>
      </c>
      <c r="C29" s="198"/>
      <c r="D29" s="192">
        <v>2.6</v>
      </c>
      <c r="E29" s="240">
        <v>13</v>
      </c>
      <c r="F29" s="192">
        <f>43.9</f>
        <v>43.9</v>
      </c>
      <c r="G29" s="33">
        <f t="shared" si="8"/>
        <v>30.9</v>
      </c>
      <c r="H29" s="33">
        <f t="shared" si="9"/>
        <v>337.69230769230768</v>
      </c>
      <c r="I29" s="5"/>
      <c r="J29" s="5"/>
    </row>
    <row r="30" spans="1:10" ht="57" customHeight="1">
      <c r="A30" s="197"/>
      <c r="B30" s="16" t="s">
        <v>240</v>
      </c>
      <c r="C30" s="198"/>
      <c r="D30" s="192">
        <f>141.5+275.9+12.5</f>
        <v>429.9</v>
      </c>
      <c r="E30" s="192">
        <v>185</v>
      </c>
      <c r="F30" s="192">
        <f>186.3+343.9+43.9</f>
        <v>574.1</v>
      </c>
      <c r="G30" s="33">
        <f t="shared" si="8"/>
        <v>389.1</v>
      </c>
      <c r="H30" s="33">
        <f t="shared" si="9"/>
        <v>310.32432432432432</v>
      </c>
      <c r="I30" s="5"/>
      <c r="J30" s="5"/>
    </row>
    <row r="31" spans="1:10" ht="24" customHeight="1">
      <c r="A31" s="197"/>
      <c r="B31" s="16" t="s">
        <v>111</v>
      </c>
      <c r="C31" s="198"/>
      <c r="D31" s="192">
        <v>151.6</v>
      </c>
      <c r="E31" s="192">
        <v>3.5</v>
      </c>
      <c r="F31" s="192">
        <v>204.6</v>
      </c>
      <c r="G31" s="33">
        <f t="shared" si="8"/>
        <v>201.1</v>
      </c>
      <c r="H31" s="93">
        <f t="shared" si="9"/>
        <v>5845.7142857142853</v>
      </c>
      <c r="I31" s="5"/>
      <c r="J31" s="5"/>
    </row>
    <row r="32" spans="1:10" ht="21" customHeight="1">
      <c r="A32" s="197"/>
      <c r="B32" s="16" t="s">
        <v>227</v>
      </c>
      <c r="C32" s="198"/>
      <c r="D32" s="192">
        <f>189.7</f>
        <v>189.7</v>
      </c>
      <c r="E32" s="192"/>
      <c r="F32" s="192">
        <v>235</v>
      </c>
      <c r="G32" s="33">
        <f t="shared" si="8"/>
        <v>235</v>
      </c>
      <c r="H32" s="93" t="e">
        <f t="shared" si="9"/>
        <v>#DIV/0!</v>
      </c>
      <c r="I32" s="5"/>
      <c r="J32" s="5"/>
    </row>
    <row r="33" spans="1:10" ht="21.75" customHeight="1">
      <c r="A33" s="197"/>
      <c r="B33" s="16" t="s">
        <v>139</v>
      </c>
      <c r="C33" s="198"/>
      <c r="D33" s="192">
        <f>127.4</f>
        <v>127.4</v>
      </c>
      <c r="E33" s="26">
        <v>130</v>
      </c>
      <c r="F33" s="192">
        <f>52.9</f>
        <v>52.9</v>
      </c>
      <c r="G33" s="33">
        <f t="shared" si="8"/>
        <v>-77.099999999999994</v>
      </c>
      <c r="H33" s="33">
        <f t="shared" si="9"/>
        <v>40.692307692307686</v>
      </c>
      <c r="I33" s="5"/>
      <c r="J33" s="5"/>
    </row>
    <row r="34" spans="1:10" ht="20.25" customHeight="1">
      <c r="A34" s="197"/>
      <c r="B34" s="16" t="s">
        <v>112</v>
      </c>
      <c r="C34" s="198"/>
      <c r="D34" s="192">
        <f>11.1+1.2</f>
        <v>12.299999999999999</v>
      </c>
      <c r="E34" s="192">
        <v>15</v>
      </c>
      <c r="F34" s="192">
        <f>7.4+3.5</f>
        <v>10.9</v>
      </c>
      <c r="G34" s="33">
        <f t="shared" si="8"/>
        <v>-4.0999999999999996</v>
      </c>
      <c r="H34" s="33">
        <f t="shared" si="9"/>
        <v>72.666666666666671</v>
      </c>
      <c r="I34" s="5"/>
      <c r="J34" s="5"/>
    </row>
    <row r="35" spans="1:10" ht="21" customHeight="1">
      <c r="A35" s="197"/>
      <c r="B35" s="16" t="s">
        <v>140</v>
      </c>
      <c r="C35" s="198"/>
      <c r="D35" s="192">
        <v>52.3</v>
      </c>
      <c r="E35" s="192"/>
      <c r="F35" s="192">
        <v>194.3</v>
      </c>
      <c r="G35" s="33">
        <f t="shared" si="8"/>
        <v>194.3</v>
      </c>
      <c r="H35" s="93" t="e">
        <f t="shared" si="9"/>
        <v>#DIV/0!</v>
      </c>
      <c r="I35" s="5"/>
      <c r="J35" s="5"/>
    </row>
    <row r="36" spans="1:10" ht="20.25" customHeight="1">
      <c r="A36" s="197"/>
      <c r="B36" s="16" t="s">
        <v>141</v>
      </c>
      <c r="C36" s="198"/>
      <c r="D36" s="192">
        <f>2.2+98.1+39.2</f>
        <v>139.5</v>
      </c>
      <c r="E36" s="192"/>
      <c r="F36" s="192">
        <f>82.5+157.6</f>
        <v>240.1</v>
      </c>
      <c r="G36" s="33">
        <f t="shared" si="8"/>
        <v>240.1</v>
      </c>
      <c r="H36" s="33" t="e">
        <f t="shared" si="9"/>
        <v>#DIV/0!</v>
      </c>
      <c r="I36" s="5"/>
      <c r="J36" s="5"/>
    </row>
    <row r="37" spans="1:10" ht="36.75" customHeight="1">
      <c r="A37" s="197"/>
      <c r="B37" s="16" t="s">
        <v>241</v>
      </c>
      <c r="C37" s="9"/>
      <c r="D37" s="192">
        <f>404.9+719.2</f>
        <v>1124.0999999999999</v>
      </c>
      <c r="E37" s="192">
        <v>350</v>
      </c>
      <c r="F37" s="192">
        <f>357.7+550.9</f>
        <v>908.59999999999991</v>
      </c>
      <c r="G37" s="33">
        <f t="shared" si="8"/>
        <v>558.59999999999991</v>
      </c>
      <c r="H37" s="33">
        <f t="shared" si="9"/>
        <v>259.59999999999997</v>
      </c>
      <c r="I37" s="5"/>
      <c r="J37" s="5"/>
    </row>
    <row r="38" spans="1:10" ht="18" customHeight="1">
      <c r="A38" s="197"/>
      <c r="B38" s="16" t="s">
        <v>227</v>
      </c>
      <c r="C38" s="9"/>
      <c r="D38" s="192"/>
      <c r="E38" s="192">
        <v>250</v>
      </c>
      <c r="F38" s="192"/>
      <c r="G38" s="33"/>
      <c r="H38" s="33"/>
      <c r="I38" s="5"/>
      <c r="J38" s="5"/>
    </row>
    <row r="39" spans="1:10" ht="20.25" customHeight="1">
      <c r="A39" s="197"/>
      <c r="B39" s="16" t="s">
        <v>143</v>
      </c>
      <c r="C39" s="198"/>
      <c r="D39" s="192">
        <f>14.6+152.5</f>
        <v>167.1</v>
      </c>
      <c r="E39" s="192">
        <v>10</v>
      </c>
      <c r="F39" s="192">
        <v>553.6</v>
      </c>
      <c r="G39" s="33">
        <f t="shared" si="8"/>
        <v>543.6</v>
      </c>
      <c r="H39" s="93">
        <f t="shared" si="9"/>
        <v>5536</v>
      </c>
      <c r="I39" s="5"/>
      <c r="J39" s="5"/>
    </row>
    <row r="40" spans="1:10" ht="21" customHeight="1">
      <c r="A40" s="197"/>
      <c r="B40" s="16" t="s">
        <v>110</v>
      </c>
      <c r="C40" s="198"/>
      <c r="D40" s="192">
        <f>28999.2+1.7+577.6+5359.6+4876.4+1.5+577.5</f>
        <v>40393.5</v>
      </c>
      <c r="E40" s="26">
        <v>50390</v>
      </c>
      <c r="F40" s="192">
        <f>42688.3+646.4+4043.3+846.2+22.2</f>
        <v>48246.400000000001</v>
      </c>
      <c r="G40" s="33">
        <f t="shared" si="8"/>
        <v>-2143.5999999999985</v>
      </c>
      <c r="H40" s="33">
        <f t="shared" si="9"/>
        <v>95.745981345505058</v>
      </c>
      <c r="I40" s="5"/>
      <c r="J40" s="5"/>
    </row>
    <row r="41" spans="1:10" ht="21" customHeight="1">
      <c r="A41" s="197"/>
      <c r="B41" s="16" t="s">
        <v>131</v>
      </c>
      <c r="C41" s="198"/>
      <c r="D41" s="192">
        <f>1372.1+786.1</f>
        <v>2158.1999999999998</v>
      </c>
      <c r="E41" s="192">
        <v>1200</v>
      </c>
      <c r="F41" s="192">
        <f>1518.4+315.3</f>
        <v>1833.7</v>
      </c>
      <c r="G41" s="33">
        <f t="shared" si="8"/>
        <v>633.70000000000005</v>
      </c>
      <c r="H41" s="33">
        <f t="shared" si="9"/>
        <v>152.80833333333334</v>
      </c>
      <c r="I41" s="5"/>
      <c r="J41" s="5"/>
    </row>
    <row r="42" spans="1:10" ht="20.25" customHeight="1">
      <c r="A42" s="197"/>
      <c r="B42" s="16" t="s">
        <v>133</v>
      </c>
      <c r="C42" s="198"/>
      <c r="D42" s="192">
        <f>136.9</f>
        <v>136.9</v>
      </c>
      <c r="E42" s="192">
        <v>176</v>
      </c>
      <c r="F42" s="192">
        <v>11.2</v>
      </c>
      <c r="G42" s="33">
        <f t="shared" si="8"/>
        <v>-164.8</v>
      </c>
      <c r="H42" s="33">
        <f t="shared" si="9"/>
        <v>6.3636363636363633</v>
      </c>
      <c r="I42" s="241"/>
      <c r="J42" s="5"/>
    </row>
    <row r="43" spans="1:10" ht="21" customHeight="1">
      <c r="A43" s="197"/>
      <c r="B43" s="16" t="s">
        <v>124</v>
      </c>
      <c r="C43" s="198"/>
      <c r="D43" s="192">
        <f>3662.7+7.1+0.5</f>
        <v>3670.2999999999997</v>
      </c>
      <c r="E43" s="192">
        <v>3962.7</v>
      </c>
      <c r="F43" s="192">
        <f>6+4179.4+7.4</f>
        <v>4192.7999999999993</v>
      </c>
      <c r="G43" s="33">
        <f t="shared" si="8"/>
        <v>230.09999999999945</v>
      </c>
      <c r="H43" s="33">
        <f t="shared" si="9"/>
        <v>105.80664698311755</v>
      </c>
      <c r="I43" s="5"/>
      <c r="J43" s="5"/>
    </row>
    <row r="44" spans="1:10" ht="20.25" customHeight="1">
      <c r="A44" s="197"/>
      <c r="B44" s="18" t="s">
        <v>125</v>
      </c>
      <c r="C44" s="198"/>
      <c r="D44" s="192">
        <f>232.1+1.3+0.1</f>
        <v>233.5</v>
      </c>
      <c r="E44" s="192">
        <v>234.4</v>
      </c>
      <c r="F44" s="192">
        <f>0.4+219.4+1.6</f>
        <v>221.4</v>
      </c>
      <c r="G44" s="33">
        <f t="shared" si="8"/>
        <v>-13</v>
      </c>
      <c r="H44" s="33">
        <f t="shared" si="9"/>
        <v>94.453924914675767</v>
      </c>
      <c r="I44" s="5"/>
      <c r="J44" s="5"/>
    </row>
    <row r="45" spans="1:10" ht="21" customHeight="1">
      <c r="A45" s="197"/>
      <c r="B45" s="16" t="s">
        <v>126</v>
      </c>
      <c r="C45" s="198"/>
      <c r="D45" s="192">
        <f>2953.6+126+0.4</f>
        <v>3080</v>
      </c>
      <c r="E45" s="192">
        <v>3921.3</v>
      </c>
      <c r="F45" s="192">
        <f>4.3+4567.6+157.7</f>
        <v>4729.6000000000004</v>
      </c>
      <c r="G45" s="33">
        <f t="shared" si="8"/>
        <v>808.30000000000018</v>
      </c>
      <c r="H45" s="33">
        <f t="shared" si="9"/>
        <v>120.61306199474664</v>
      </c>
      <c r="I45" s="5"/>
      <c r="J45" s="5"/>
    </row>
    <row r="46" spans="1:10" ht="20.25" customHeight="1">
      <c r="A46" s="197"/>
      <c r="B46" s="16" t="s">
        <v>127</v>
      </c>
      <c r="C46" s="198"/>
      <c r="D46" s="192">
        <f>150.4+0.4</f>
        <v>150.80000000000001</v>
      </c>
      <c r="E46" s="192">
        <v>159.4</v>
      </c>
      <c r="F46" s="192">
        <f>0.2+139.6+0.4</f>
        <v>140.19999999999999</v>
      </c>
      <c r="G46" s="33">
        <f t="shared" si="8"/>
        <v>-19.200000000000017</v>
      </c>
      <c r="H46" s="33">
        <f t="shared" si="9"/>
        <v>87.954830614805516</v>
      </c>
      <c r="I46" s="5"/>
      <c r="J46" s="5"/>
    </row>
    <row r="47" spans="1:10" ht="24.75" customHeight="1">
      <c r="A47" s="291" t="s">
        <v>197</v>
      </c>
      <c r="B47" s="292"/>
      <c r="C47" s="199">
        <v>1015</v>
      </c>
      <c r="D47" s="184">
        <f>SUM(D48:D79)</f>
        <v>2269.4</v>
      </c>
      <c r="E47" s="184">
        <f>SUM(E48:E79)</f>
        <v>2198.1</v>
      </c>
      <c r="F47" s="184">
        <f>SUM(F48:F78)</f>
        <v>2090.5000000000005</v>
      </c>
      <c r="G47" s="191">
        <f t="shared" si="8"/>
        <v>-107.59999999999945</v>
      </c>
      <c r="H47" s="191">
        <f t="shared" si="9"/>
        <v>95.104863291024088</v>
      </c>
      <c r="I47" s="5"/>
      <c r="J47" s="5"/>
    </row>
    <row r="48" spans="1:10" ht="40.5" customHeight="1">
      <c r="A48" s="197"/>
      <c r="B48" s="28" t="s">
        <v>191</v>
      </c>
      <c r="C48" s="9"/>
      <c r="D48" s="180">
        <f>22.2</f>
        <v>22.2</v>
      </c>
      <c r="E48" s="192">
        <v>55</v>
      </c>
      <c r="F48" s="180">
        <f>54.8</f>
        <v>54.8</v>
      </c>
      <c r="G48" s="33">
        <f t="shared" si="8"/>
        <v>-0.20000000000000284</v>
      </c>
      <c r="H48" s="33">
        <f t="shared" si="9"/>
        <v>99.63636363636364</v>
      </c>
      <c r="I48" s="5"/>
      <c r="J48" s="5"/>
    </row>
    <row r="49" spans="1:10" ht="54" customHeight="1">
      <c r="A49" s="197"/>
      <c r="B49" s="31" t="s">
        <v>114</v>
      </c>
      <c r="C49" s="9"/>
      <c r="D49" s="180">
        <f>12.4</f>
        <v>12.4</v>
      </c>
      <c r="E49" s="192">
        <v>6.5</v>
      </c>
      <c r="F49" s="180">
        <f>17.1</f>
        <v>17.100000000000001</v>
      </c>
      <c r="G49" s="33">
        <f t="shared" si="8"/>
        <v>10.600000000000001</v>
      </c>
      <c r="H49" s="33">
        <f t="shared" si="9"/>
        <v>263.07692307692309</v>
      </c>
      <c r="I49" s="5"/>
      <c r="J49" s="5"/>
    </row>
    <row r="50" spans="1:10" ht="22.5" customHeight="1">
      <c r="A50" s="197"/>
      <c r="B50" s="31" t="s">
        <v>129</v>
      </c>
      <c r="C50" s="198"/>
      <c r="D50" s="180">
        <f>194</f>
        <v>194</v>
      </c>
      <c r="E50" s="192">
        <v>220</v>
      </c>
      <c r="F50" s="180">
        <v>122.9</v>
      </c>
      <c r="G50" s="33">
        <f t="shared" si="8"/>
        <v>-97.1</v>
      </c>
      <c r="H50" s="33">
        <f t="shared" si="9"/>
        <v>55.863636363636374</v>
      </c>
      <c r="I50" s="5"/>
      <c r="J50" s="5"/>
    </row>
    <row r="51" spans="1:10" ht="34.5" customHeight="1">
      <c r="A51" s="197"/>
      <c r="B51" s="16" t="s">
        <v>266</v>
      </c>
      <c r="C51" s="198"/>
      <c r="D51" s="180">
        <v>42.1</v>
      </c>
      <c r="E51" s="240">
        <v>310</v>
      </c>
      <c r="F51" s="180"/>
      <c r="G51" s="33">
        <f t="shared" si="8"/>
        <v>-310</v>
      </c>
      <c r="H51" s="33">
        <f t="shared" si="9"/>
        <v>0</v>
      </c>
      <c r="I51" s="5"/>
      <c r="J51" s="5"/>
    </row>
    <row r="52" spans="1:10" ht="20.25" customHeight="1">
      <c r="A52" s="197"/>
      <c r="B52" s="31" t="s">
        <v>116</v>
      </c>
      <c r="C52" s="198"/>
      <c r="D52" s="180">
        <f>25.3</f>
        <v>25.3</v>
      </c>
      <c r="E52" s="240">
        <v>23</v>
      </c>
      <c r="F52" s="180">
        <v>23.3</v>
      </c>
      <c r="G52" s="33">
        <f t="shared" si="8"/>
        <v>0.30000000000000071</v>
      </c>
      <c r="H52" s="33">
        <f t="shared" si="9"/>
        <v>101.30434782608695</v>
      </c>
      <c r="I52" s="5"/>
      <c r="J52" s="5"/>
    </row>
    <row r="53" spans="1:10" ht="20.25" customHeight="1">
      <c r="A53" s="197"/>
      <c r="B53" s="31" t="s">
        <v>117</v>
      </c>
      <c r="C53" s="198"/>
      <c r="D53" s="180">
        <f>4.6</f>
        <v>4.5999999999999996</v>
      </c>
      <c r="E53" s="240">
        <v>8</v>
      </c>
      <c r="F53" s="180">
        <v>2.8</v>
      </c>
      <c r="G53" s="33">
        <f t="shared" si="8"/>
        <v>-5.2</v>
      </c>
      <c r="H53" s="33">
        <f t="shared" si="9"/>
        <v>35</v>
      </c>
      <c r="I53" s="5"/>
      <c r="J53" s="5"/>
    </row>
    <row r="54" spans="1:10" ht="18.75" customHeight="1">
      <c r="A54" s="200"/>
      <c r="B54" s="31" t="s">
        <v>250</v>
      </c>
      <c r="C54" s="190"/>
      <c r="D54" s="180">
        <f>352.1+19.2</f>
        <v>371.3</v>
      </c>
      <c r="E54" s="192">
        <v>270</v>
      </c>
      <c r="F54" s="180">
        <f>273.6+195.2+32.5</f>
        <v>501.3</v>
      </c>
      <c r="G54" s="33">
        <f t="shared" si="8"/>
        <v>231.3</v>
      </c>
      <c r="H54" s="33">
        <f t="shared" si="9"/>
        <v>185.66666666666666</v>
      </c>
      <c r="I54" s="5"/>
      <c r="J54" s="5"/>
    </row>
    <row r="55" spans="1:10" ht="18" customHeight="1">
      <c r="A55" s="200"/>
      <c r="B55" s="31" t="s">
        <v>118</v>
      </c>
      <c r="C55" s="190"/>
      <c r="D55" s="180">
        <f>54</f>
        <v>54</v>
      </c>
      <c r="E55" s="192">
        <v>39</v>
      </c>
      <c r="F55" s="180">
        <f>48.1</f>
        <v>48.1</v>
      </c>
      <c r="G55" s="33">
        <f t="shared" si="8"/>
        <v>9.1000000000000014</v>
      </c>
      <c r="H55" s="33">
        <f t="shared" si="9"/>
        <v>123.33333333333334</v>
      </c>
      <c r="I55" s="5"/>
      <c r="J55" s="5"/>
    </row>
    <row r="56" spans="1:10" ht="18" customHeight="1">
      <c r="A56" s="197"/>
      <c r="B56" s="31" t="s">
        <v>119</v>
      </c>
      <c r="C56" s="198"/>
      <c r="D56" s="180">
        <f>23.2</f>
        <v>23.2</v>
      </c>
      <c r="E56" s="240">
        <v>23.3</v>
      </c>
      <c r="F56" s="180">
        <v>25.9</v>
      </c>
      <c r="G56" s="33">
        <f t="shared" si="8"/>
        <v>2.5999999999999979</v>
      </c>
      <c r="H56" s="33">
        <f t="shared" si="9"/>
        <v>111.15879828326179</v>
      </c>
      <c r="I56" s="5"/>
      <c r="J56" s="5"/>
    </row>
    <row r="57" spans="1:10" ht="18" customHeight="1">
      <c r="A57" s="197"/>
      <c r="B57" s="31" t="s">
        <v>120</v>
      </c>
      <c r="C57" s="198"/>
      <c r="D57" s="180"/>
      <c r="E57" s="240">
        <v>3</v>
      </c>
      <c r="F57" s="180"/>
      <c r="G57" s="33">
        <f t="shared" si="8"/>
        <v>-3</v>
      </c>
      <c r="H57" s="93">
        <f t="shared" si="9"/>
        <v>0</v>
      </c>
      <c r="I57" s="5"/>
      <c r="J57" s="5"/>
    </row>
    <row r="58" spans="1:10" ht="18" customHeight="1">
      <c r="A58" s="197"/>
      <c r="B58" s="31" t="s">
        <v>121</v>
      </c>
      <c r="C58" s="198"/>
      <c r="D58" s="180">
        <f>34.6</f>
        <v>34.6</v>
      </c>
      <c r="E58" s="240">
        <v>35</v>
      </c>
      <c r="F58" s="180">
        <v>53.3</v>
      </c>
      <c r="G58" s="33">
        <f t="shared" si="8"/>
        <v>18.299999999999997</v>
      </c>
      <c r="H58" s="33">
        <f t="shared" si="9"/>
        <v>152.28571428571428</v>
      </c>
      <c r="I58" s="5"/>
      <c r="J58" s="5"/>
    </row>
    <row r="59" spans="1:10" ht="18" customHeight="1">
      <c r="A59" s="197"/>
      <c r="B59" s="31" t="s">
        <v>217</v>
      </c>
      <c r="C59" s="198"/>
      <c r="D59" s="180">
        <f>15.3</f>
        <v>15.3</v>
      </c>
      <c r="E59" s="240"/>
      <c r="F59" s="180"/>
      <c r="G59" s="33">
        <f t="shared" si="8"/>
        <v>0</v>
      </c>
      <c r="H59" s="33" t="e">
        <f t="shared" si="9"/>
        <v>#DIV/0!</v>
      </c>
      <c r="I59" s="5"/>
      <c r="J59" s="5"/>
    </row>
    <row r="60" spans="1:10" ht="18" customHeight="1">
      <c r="A60" s="197"/>
      <c r="B60" s="31" t="s">
        <v>122</v>
      </c>
      <c r="C60" s="198"/>
      <c r="D60" s="180">
        <v>23.3</v>
      </c>
      <c r="E60" s="240"/>
      <c r="F60" s="180">
        <f>21.7+3.5</f>
        <v>25.2</v>
      </c>
      <c r="G60" s="33">
        <f t="shared" si="8"/>
        <v>25.2</v>
      </c>
      <c r="H60" s="33" t="e">
        <f t="shared" si="9"/>
        <v>#DIV/0!</v>
      </c>
      <c r="I60" s="5"/>
      <c r="J60" s="5"/>
    </row>
    <row r="61" spans="1:10" ht="18" customHeight="1">
      <c r="A61" s="197"/>
      <c r="B61" s="31" t="s">
        <v>123</v>
      </c>
      <c r="C61" s="198"/>
      <c r="D61" s="180">
        <f>11.7</f>
        <v>11.7</v>
      </c>
      <c r="E61" s="180">
        <v>13</v>
      </c>
      <c r="F61" s="180">
        <v>11.3</v>
      </c>
      <c r="G61" s="33">
        <f t="shared" si="8"/>
        <v>-1.6999999999999993</v>
      </c>
      <c r="H61" s="33">
        <f t="shared" si="9"/>
        <v>86.92307692307692</v>
      </c>
      <c r="I61" s="5"/>
      <c r="J61" s="5"/>
    </row>
    <row r="62" spans="1:10" ht="18" customHeight="1">
      <c r="A62" s="197"/>
      <c r="B62" s="31" t="s">
        <v>335</v>
      </c>
      <c r="C62" s="198"/>
      <c r="D62" s="180">
        <v>32.1</v>
      </c>
      <c r="E62" s="180">
        <v>15</v>
      </c>
      <c r="F62" s="180">
        <v>12.9</v>
      </c>
      <c r="G62" s="33">
        <f t="shared" si="8"/>
        <v>-2.0999999999999996</v>
      </c>
      <c r="H62" s="33">
        <f t="shared" si="9"/>
        <v>86</v>
      </c>
      <c r="I62" s="5"/>
      <c r="J62" s="5"/>
    </row>
    <row r="63" spans="1:10" ht="62.25" customHeight="1">
      <c r="A63" s="197"/>
      <c r="B63" s="31" t="s">
        <v>305</v>
      </c>
      <c r="C63" s="198"/>
      <c r="D63" s="180"/>
      <c r="E63" s="180"/>
      <c r="F63" s="180">
        <v>387.4</v>
      </c>
      <c r="G63" s="33"/>
      <c r="H63" s="33"/>
      <c r="I63" s="5"/>
      <c r="J63" s="5"/>
    </row>
    <row r="64" spans="1:10" ht="54.75" customHeight="1">
      <c r="A64" s="200"/>
      <c r="B64" s="201" t="s">
        <v>144</v>
      </c>
      <c r="C64" s="190"/>
      <c r="D64" s="180">
        <f>295.2</f>
        <v>295.2</v>
      </c>
      <c r="E64" s="180">
        <v>320</v>
      </c>
      <c r="F64" s="180">
        <v>368.1</v>
      </c>
      <c r="G64" s="33">
        <f t="shared" si="8"/>
        <v>48.100000000000023</v>
      </c>
      <c r="H64" s="33">
        <f t="shared" si="9"/>
        <v>115.03125</v>
      </c>
      <c r="I64" s="5"/>
      <c r="J64" s="5"/>
    </row>
    <row r="65" spans="1:10" ht="19.5" customHeight="1">
      <c r="A65" s="197"/>
      <c r="B65" s="31" t="s">
        <v>367</v>
      </c>
      <c r="C65" s="190"/>
      <c r="D65" s="180"/>
      <c r="E65" s="180">
        <v>0.2</v>
      </c>
      <c r="F65" s="180"/>
      <c r="G65" s="33"/>
      <c r="H65" s="33"/>
      <c r="I65" s="5"/>
      <c r="J65" s="5"/>
    </row>
    <row r="66" spans="1:10" ht="95.25" customHeight="1">
      <c r="A66" s="197"/>
      <c r="B66" s="16" t="s">
        <v>296</v>
      </c>
      <c r="C66" s="190"/>
      <c r="D66" s="180">
        <v>321</v>
      </c>
      <c r="E66" s="180">
        <v>150</v>
      </c>
      <c r="F66" s="180"/>
      <c r="G66" s="33"/>
      <c r="H66" s="33"/>
      <c r="I66" s="5"/>
      <c r="J66" s="5"/>
    </row>
    <row r="67" spans="1:10" ht="18.75" customHeight="1">
      <c r="A67" s="197"/>
      <c r="B67" s="31" t="s">
        <v>157</v>
      </c>
      <c r="C67" s="198"/>
      <c r="D67" s="180">
        <f>15.7+3.2</f>
        <v>18.899999999999999</v>
      </c>
      <c r="E67" s="240">
        <v>5</v>
      </c>
      <c r="F67" s="180">
        <v>7.5</v>
      </c>
      <c r="G67" s="33">
        <f t="shared" si="8"/>
        <v>2.5</v>
      </c>
      <c r="H67" s="33">
        <f t="shared" si="9"/>
        <v>150</v>
      </c>
      <c r="I67" s="5"/>
      <c r="J67" s="5"/>
    </row>
    <row r="68" spans="1:10" ht="19.5" customHeight="1">
      <c r="A68" s="197"/>
      <c r="B68" s="31" t="s">
        <v>145</v>
      </c>
      <c r="C68" s="198"/>
      <c r="D68" s="180">
        <f>0.5</f>
        <v>0.5</v>
      </c>
      <c r="E68" s="240">
        <v>0.6</v>
      </c>
      <c r="F68" s="180"/>
      <c r="G68" s="33">
        <f t="shared" si="8"/>
        <v>-0.6</v>
      </c>
      <c r="H68" s="33">
        <f t="shared" si="9"/>
        <v>0</v>
      </c>
      <c r="I68" s="5"/>
      <c r="J68" s="5"/>
    </row>
    <row r="69" spans="1:10" ht="19.5" customHeight="1">
      <c r="A69" s="197"/>
      <c r="B69" s="31" t="s">
        <v>211</v>
      </c>
      <c r="C69" s="198"/>
      <c r="D69" s="180">
        <f>54+1.8</f>
        <v>55.8</v>
      </c>
      <c r="E69" s="240">
        <v>54</v>
      </c>
      <c r="F69" s="180">
        <v>59.5</v>
      </c>
      <c r="G69" s="33">
        <f t="shared" si="8"/>
        <v>5.5</v>
      </c>
      <c r="H69" s="33">
        <f t="shared" si="9"/>
        <v>110.18518518518519</v>
      </c>
      <c r="I69" s="5"/>
      <c r="J69" s="5"/>
    </row>
    <row r="70" spans="1:10" ht="73.5" customHeight="1">
      <c r="A70" s="197"/>
      <c r="B70" s="16" t="s">
        <v>303</v>
      </c>
      <c r="C70" s="198"/>
      <c r="D70" s="180"/>
      <c r="E70" s="240"/>
      <c r="F70" s="180">
        <f>39.5+17.9</f>
        <v>57.4</v>
      </c>
      <c r="G70" s="33"/>
      <c r="H70" s="33"/>
      <c r="I70" s="5"/>
      <c r="J70" s="5"/>
    </row>
    <row r="71" spans="1:10" ht="20.25" customHeight="1">
      <c r="A71" s="197"/>
      <c r="B71" s="31" t="s">
        <v>158</v>
      </c>
      <c r="C71" s="202"/>
      <c r="D71" s="180">
        <v>290.60000000000002</v>
      </c>
      <c r="E71" s="192">
        <v>310</v>
      </c>
      <c r="F71" s="180">
        <v>248.2</v>
      </c>
      <c r="G71" s="33">
        <f t="shared" si="8"/>
        <v>-61.800000000000011</v>
      </c>
      <c r="H71" s="33">
        <f t="shared" si="9"/>
        <v>80.064516129032256</v>
      </c>
      <c r="I71" s="5"/>
      <c r="J71" s="5"/>
    </row>
    <row r="72" spans="1:10" ht="57" customHeight="1">
      <c r="A72" s="197"/>
      <c r="B72" s="31" t="s">
        <v>210</v>
      </c>
      <c r="C72" s="202"/>
      <c r="D72" s="180">
        <v>3.9</v>
      </c>
      <c r="E72" s="192">
        <v>3</v>
      </c>
      <c r="F72" s="180">
        <v>16</v>
      </c>
      <c r="G72" s="33">
        <f t="shared" si="8"/>
        <v>13</v>
      </c>
      <c r="H72" s="33">
        <f t="shared" si="9"/>
        <v>533.33333333333326</v>
      </c>
      <c r="I72" s="5"/>
      <c r="J72" s="5"/>
    </row>
    <row r="73" spans="1:10" ht="36" customHeight="1">
      <c r="A73" s="197"/>
      <c r="B73" s="31" t="s">
        <v>128</v>
      </c>
      <c r="C73" s="202"/>
      <c r="D73" s="180"/>
      <c r="E73" s="192">
        <v>12</v>
      </c>
      <c r="F73" s="180">
        <v>0.8</v>
      </c>
      <c r="G73" s="33">
        <f t="shared" si="8"/>
        <v>-11.2</v>
      </c>
      <c r="H73" s="33">
        <f t="shared" si="9"/>
        <v>6.666666666666667</v>
      </c>
      <c r="I73" s="5"/>
      <c r="J73" s="5"/>
    </row>
    <row r="74" spans="1:10" ht="18.75" customHeight="1">
      <c r="A74" s="197"/>
      <c r="B74" s="31" t="s">
        <v>295</v>
      </c>
      <c r="C74" s="202"/>
      <c r="D74" s="180">
        <v>18.399999999999999</v>
      </c>
      <c r="E74" s="192">
        <v>20</v>
      </c>
      <c r="F74" s="180">
        <v>38.9</v>
      </c>
      <c r="G74" s="33">
        <f t="shared" si="8"/>
        <v>18.899999999999999</v>
      </c>
      <c r="H74" s="33">
        <f t="shared" si="9"/>
        <v>194.49999999999997</v>
      </c>
      <c r="I74" s="5"/>
      <c r="J74" s="5"/>
    </row>
    <row r="75" spans="1:10" ht="36" customHeight="1">
      <c r="A75" s="197"/>
      <c r="B75" s="16" t="s">
        <v>336</v>
      </c>
      <c r="C75" s="202"/>
      <c r="D75" s="180">
        <v>49.1</v>
      </c>
      <c r="E75" s="180"/>
      <c r="F75" s="180">
        <v>6.9</v>
      </c>
      <c r="G75" s="33">
        <f t="shared" si="8"/>
        <v>6.9</v>
      </c>
      <c r="H75" s="93" t="e">
        <f t="shared" si="9"/>
        <v>#DIV/0!</v>
      </c>
      <c r="I75" s="5"/>
      <c r="J75" s="5"/>
    </row>
    <row r="76" spans="1:10" ht="55.5" customHeight="1">
      <c r="A76" s="197"/>
      <c r="B76" s="16" t="s">
        <v>243</v>
      </c>
      <c r="C76" s="202"/>
      <c r="D76" s="180">
        <v>1.3</v>
      </c>
      <c r="E76" s="192">
        <v>2.5</v>
      </c>
      <c r="F76" s="180">
        <v>0.9</v>
      </c>
      <c r="G76" s="33">
        <f t="shared" si="8"/>
        <v>-1.6</v>
      </c>
      <c r="H76" s="33">
        <f t="shared" si="9"/>
        <v>36</v>
      </c>
      <c r="I76" s="5"/>
      <c r="J76" s="5"/>
    </row>
    <row r="77" spans="1:10" ht="34.5" customHeight="1">
      <c r="A77" s="200"/>
      <c r="B77" s="135" t="s">
        <v>255</v>
      </c>
      <c r="C77" s="202"/>
      <c r="D77" s="180">
        <v>198</v>
      </c>
      <c r="E77" s="192">
        <v>300</v>
      </c>
      <c r="F77" s="180"/>
      <c r="G77" s="33">
        <f t="shared" si="8"/>
        <v>-300</v>
      </c>
      <c r="H77" s="33">
        <f t="shared" si="9"/>
        <v>0</v>
      </c>
      <c r="I77" s="5"/>
      <c r="J77" s="5"/>
    </row>
    <row r="78" spans="1:10" ht="20.25" customHeight="1">
      <c r="A78" s="197"/>
      <c r="B78" s="242" t="s">
        <v>337</v>
      </c>
      <c r="C78" s="202"/>
      <c r="D78" s="180">
        <v>6.2</v>
      </c>
      <c r="E78" s="192"/>
      <c r="F78" s="180"/>
      <c r="G78" s="33"/>
      <c r="H78" s="33"/>
      <c r="I78" s="5"/>
      <c r="J78" s="5"/>
    </row>
    <row r="79" spans="1:10" ht="20.25" customHeight="1">
      <c r="A79" s="31"/>
      <c r="B79" s="31" t="s">
        <v>338</v>
      </c>
      <c r="C79" s="202"/>
      <c r="D79" s="180">
        <v>144.4</v>
      </c>
      <c r="E79" s="192"/>
      <c r="F79" s="180"/>
      <c r="G79" s="33"/>
      <c r="H79" s="33"/>
      <c r="I79" s="5"/>
      <c r="J79" s="5"/>
    </row>
    <row r="80" spans="1:10" ht="21" customHeight="1">
      <c r="A80" s="299" t="s">
        <v>77</v>
      </c>
      <c r="B80" s="300"/>
      <c r="C80" s="21"/>
      <c r="D80" s="184"/>
      <c r="E80" s="184"/>
      <c r="F80" s="184"/>
      <c r="G80" s="191"/>
      <c r="H80" s="191"/>
      <c r="I80" s="5"/>
      <c r="J80" s="5"/>
    </row>
    <row r="81" spans="1:10" ht="19.5" customHeight="1">
      <c r="A81" s="291" t="s">
        <v>89</v>
      </c>
      <c r="B81" s="292"/>
      <c r="C81" s="13">
        <v>1021</v>
      </c>
      <c r="D81" s="185">
        <f>SUM(D82:D84)</f>
        <v>85</v>
      </c>
      <c r="E81" s="185">
        <f>SUM(E82:E84)</f>
        <v>110</v>
      </c>
      <c r="F81" s="185">
        <f>SUM(F82:F84)</f>
        <v>42.1</v>
      </c>
      <c r="G81" s="191">
        <f t="shared" si="8"/>
        <v>-67.900000000000006</v>
      </c>
      <c r="H81" s="191">
        <f t="shared" si="9"/>
        <v>38.272727272727273</v>
      </c>
      <c r="I81" s="5"/>
      <c r="J81" s="5"/>
    </row>
    <row r="82" spans="1:10" ht="20.25" customHeight="1">
      <c r="A82" s="171"/>
      <c r="B82" s="31" t="s">
        <v>139</v>
      </c>
      <c r="C82" s="13"/>
      <c r="D82" s="180">
        <v>85</v>
      </c>
      <c r="E82" s="180">
        <v>90</v>
      </c>
      <c r="F82" s="180">
        <v>42.1</v>
      </c>
      <c r="G82" s="33">
        <f t="shared" si="8"/>
        <v>-47.9</v>
      </c>
      <c r="H82" s="33">
        <f t="shared" si="9"/>
        <v>46.777777777777779</v>
      </c>
      <c r="I82" s="5"/>
      <c r="J82" s="5"/>
    </row>
    <row r="83" spans="1:10" ht="22.5" customHeight="1">
      <c r="A83" s="171"/>
      <c r="B83" s="31" t="s">
        <v>113</v>
      </c>
      <c r="C83" s="13"/>
      <c r="D83" s="180"/>
      <c r="E83" s="240">
        <v>7</v>
      </c>
      <c r="F83" s="180"/>
      <c r="G83" s="33">
        <f t="shared" si="8"/>
        <v>-7</v>
      </c>
      <c r="H83" s="33">
        <f t="shared" si="9"/>
        <v>0</v>
      </c>
      <c r="I83" s="5"/>
      <c r="J83" s="5"/>
    </row>
    <row r="84" spans="1:10" ht="21.75" customHeight="1">
      <c r="A84" s="203"/>
      <c r="B84" s="31" t="s">
        <v>142</v>
      </c>
      <c r="C84" s="9"/>
      <c r="D84" s="180"/>
      <c r="E84" s="240">
        <v>13</v>
      </c>
      <c r="F84" s="180"/>
      <c r="G84" s="33">
        <f t="shared" si="8"/>
        <v>-13</v>
      </c>
      <c r="H84" s="33">
        <f t="shared" si="9"/>
        <v>0</v>
      </c>
      <c r="I84" s="5"/>
      <c r="J84" s="5"/>
    </row>
    <row r="85" spans="1:10" ht="21.75" customHeight="1">
      <c r="A85" s="291" t="s">
        <v>195</v>
      </c>
      <c r="B85" s="292"/>
      <c r="C85" s="13">
        <v>1025</v>
      </c>
      <c r="D85" s="185">
        <f>SUM(D86:D98)</f>
        <v>298.50000000000006</v>
      </c>
      <c r="E85" s="185">
        <f>SUM(E86:E99)</f>
        <v>761.8</v>
      </c>
      <c r="F85" s="185">
        <f>SUM(F86:F97)</f>
        <v>460.09999999999997</v>
      </c>
      <c r="G85" s="191">
        <f t="shared" si="8"/>
        <v>-301.7</v>
      </c>
      <c r="H85" s="191">
        <f t="shared" si="9"/>
        <v>60.396429509057491</v>
      </c>
      <c r="I85" s="5"/>
      <c r="J85" s="5"/>
    </row>
    <row r="86" spans="1:10" ht="18" customHeight="1">
      <c r="A86" s="171"/>
      <c r="B86" s="31" t="s">
        <v>115</v>
      </c>
      <c r="C86" s="13"/>
      <c r="D86" s="180">
        <v>55.6</v>
      </c>
      <c r="E86" s="240">
        <v>60</v>
      </c>
      <c r="F86" s="180">
        <v>43.5</v>
      </c>
      <c r="G86" s="33">
        <f t="shared" si="8"/>
        <v>-16.5</v>
      </c>
      <c r="H86" s="33">
        <f t="shared" si="9"/>
        <v>72.5</v>
      </c>
      <c r="I86" s="5"/>
      <c r="J86" s="5"/>
    </row>
    <row r="87" spans="1:10" ht="18" customHeight="1">
      <c r="A87" s="171"/>
      <c r="B87" s="31" t="s">
        <v>171</v>
      </c>
      <c r="C87" s="13"/>
      <c r="D87" s="180">
        <v>112.8</v>
      </c>
      <c r="E87" s="240">
        <v>140</v>
      </c>
      <c r="F87" s="180">
        <v>89.4</v>
      </c>
      <c r="G87" s="33">
        <f t="shared" si="8"/>
        <v>-50.599999999999994</v>
      </c>
      <c r="H87" s="33">
        <f t="shared" si="9"/>
        <v>63.857142857142854</v>
      </c>
      <c r="I87" s="5"/>
      <c r="J87" s="5"/>
    </row>
    <row r="88" spans="1:10" ht="39.75" customHeight="1">
      <c r="A88" s="171"/>
      <c r="B88" s="182" t="s">
        <v>297</v>
      </c>
      <c r="C88" s="13"/>
      <c r="D88" s="180"/>
      <c r="E88" s="240">
        <v>80</v>
      </c>
      <c r="F88" s="180">
        <v>83.3</v>
      </c>
      <c r="G88" s="33"/>
      <c r="H88" s="33"/>
      <c r="I88" s="5"/>
      <c r="J88" s="5"/>
    </row>
    <row r="89" spans="1:10" ht="18" customHeight="1">
      <c r="A89" s="171"/>
      <c r="B89" s="31" t="s">
        <v>147</v>
      </c>
      <c r="C89" s="13"/>
      <c r="D89" s="180">
        <v>33.700000000000003</v>
      </c>
      <c r="E89" s="240">
        <v>50</v>
      </c>
      <c r="F89" s="180">
        <v>79.7</v>
      </c>
      <c r="G89" s="33">
        <f t="shared" si="8"/>
        <v>29.700000000000003</v>
      </c>
      <c r="H89" s="33">
        <f t="shared" si="9"/>
        <v>159.4</v>
      </c>
      <c r="I89" s="5"/>
      <c r="J89" s="5"/>
    </row>
    <row r="90" spans="1:10" ht="18" customHeight="1">
      <c r="A90" s="171"/>
      <c r="B90" s="31" t="s">
        <v>148</v>
      </c>
      <c r="C90" s="13"/>
      <c r="D90" s="180">
        <v>18</v>
      </c>
      <c r="E90" s="240">
        <v>70</v>
      </c>
      <c r="F90" s="180">
        <v>45.7</v>
      </c>
      <c r="G90" s="33">
        <f t="shared" ref="G90:G106" si="11">F90-E90</f>
        <v>-24.299999999999997</v>
      </c>
      <c r="H90" s="33">
        <f t="shared" ref="H90:H106" si="12">(F90/E90)*100</f>
        <v>65.285714285714292</v>
      </c>
      <c r="I90" s="5"/>
      <c r="J90" s="5"/>
    </row>
    <row r="91" spans="1:10" ht="18" customHeight="1">
      <c r="A91" s="171"/>
      <c r="B91" s="31" t="s">
        <v>124</v>
      </c>
      <c r="C91" s="13"/>
      <c r="D91" s="180">
        <f>43.2</f>
        <v>43.2</v>
      </c>
      <c r="E91" s="240">
        <v>77.900000000000006</v>
      </c>
      <c r="F91" s="180">
        <f>82.4</f>
        <v>82.4</v>
      </c>
      <c r="G91" s="33">
        <f t="shared" si="11"/>
        <v>4.5</v>
      </c>
      <c r="H91" s="33">
        <f t="shared" si="12"/>
        <v>105.77663671373556</v>
      </c>
      <c r="I91" s="5"/>
      <c r="J91" s="5"/>
    </row>
    <row r="92" spans="1:10" ht="18" customHeight="1">
      <c r="A92" s="171"/>
      <c r="B92" s="31" t="s">
        <v>125</v>
      </c>
      <c r="C92" s="13"/>
      <c r="D92" s="180">
        <f>2.3</f>
        <v>2.2999999999999998</v>
      </c>
      <c r="E92" s="240">
        <v>2.5</v>
      </c>
      <c r="F92" s="180">
        <f>2.4</f>
        <v>2.4</v>
      </c>
      <c r="G92" s="33">
        <f t="shared" si="11"/>
        <v>-0.10000000000000009</v>
      </c>
      <c r="H92" s="33">
        <f t="shared" si="12"/>
        <v>96</v>
      </c>
      <c r="I92" s="5"/>
      <c r="J92" s="5"/>
    </row>
    <row r="93" spans="1:10" ht="18" customHeight="1">
      <c r="A93" s="171"/>
      <c r="B93" s="31" t="s">
        <v>126</v>
      </c>
      <c r="C93" s="13"/>
      <c r="D93" s="180">
        <f>21.5</f>
        <v>21.5</v>
      </c>
      <c r="E93" s="240">
        <v>26.1</v>
      </c>
      <c r="F93" s="180">
        <f>31.7</f>
        <v>31.7</v>
      </c>
      <c r="G93" s="33">
        <f t="shared" si="11"/>
        <v>5.5999999999999979</v>
      </c>
      <c r="H93" s="33">
        <f t="shared" si="12"/>
        <v>121.45593869731799</v>
      </c>
      <c r="I93" s="5"/>
      <c r="J93" s="5"/>
    </row>
    <row r="94" spans="1:10" ht="18" customHeight="1">
      <c r="A94" s="171"/>
      <c r="B94" s="31" t="s">
        <v>127</v>
      </c>
      <c r="C94" s="13"/>
      <c r="D94" s="180">
        <f>1.8</f>
        <v>1.8</v>
      </c>
      <c r="E94" s="240">
        <v>2</v>
      </c>
      <c r="F94" s="180">
        <f>1.7</f>
        <v>1.7</v>
      </c>
      <c r="G94" s="33">
        <f t="shared" si="11"/>
        <v>-0.30000000000000004</v>
      </c>
      <c r="H94" s="33">
        <f t="shared" si="12"/>
        <v>85</v>
      </c>
      <c r="I94" s="5"/>
      <c r="J94" s="5"/>
    </row>
    <row r="95" spans="1:10" ht="36.75" customHeight="1">
      <c r="A95" s="171"/>
      <c r="B95" s="31" t="s">
        <v>149</v>
      </c>
      <c r="C95" s="13"/>
      <c r="D95" s="180">
        <v>3.1</v>
      </c>
      <c r="E95" s="180">
        <v>3</v>
      </c>
      <c r="F95" s="180"/>
      <c r="G95" s="33">
        <f t="shared" si="11"/>
        <v>-3</v>
      </c>
      <c r="H95" s="33">
        <f t="shared" si="12"/>
        <v>0</v>
      </c>
      <c r="I95" s="5"/>
      <c r="J95" s="5"/>
    </row>
    <row r="96" spans="1:10" ht="18" customHeight="1">
      <c r="A96" s="171"/>
      <c r="B96" s="31" t="s">
        <v>38</v>
      </c>
      <c r="C96" s="13"/>
      <c r="D96" s="180">
        <v>0.3</v>
      </c>
      <c r="E96" s="180">
        <v>0.3</v>
      </c>
      <c r="F96" s="180">
        <v>0.3</v>
      </c>
      <c r="G96" s="33">
        <f t="shared" si="11"/>
        <v>0</v>
      </c>
      <c r="H96" s="33">
        <f t="shared" si="12"/>
        <v>100</v>
      </c>
      <c r="I96" s="5"/>
      <c r="J96" s="5"/>
    </row>
    <row r="97" spans="1:10" ht="37.5" customHeight="1">
      <c r="A97" s="171"/>
      <c r="B97" s="31" t="s">
        <v>239</v>
      </c>
      <c r="C97" s="13"/>
      <c r="D97" s="180">
        <v>3</v>
      </c>
      <c r="E97" s="180"/>
      <c r="F97" s="180"/>
      <c r="G97" s="33">
        <f t="shared" si="11"/>
        <v>0</v>
      </c>
      <c r="H97" s="93" t="e">
        <f t="shared" si="12"/>
        <v>#DIV/0!</v>
      </c>
      <c r="I97" s="5"/>
      <c r="J97" s="5"/>
    </row>
    <row r="98" spans="1:10" ht="19.5" customHeight="1">
      <c r="A98" s="16"/>
      <c r="B98" s="16" t="s">
        <v>339</v>
      </c>
      <c r="C98" s="13"/>
      <c r="D98" s="180">
        <v>3.2</v>
      </c>
      <c r="E98" s="180"/>
      <c r="F98" s="180"/>
      <c r="G98" s="33"/>
      <c r="H98" s="93"/>
      <c r="I98" s="5"/>
      <c r="J98" s="5"/>
    </row>
    <row r="99" spans="1:10" ht="36.75" customHeight="1">
      <c r="A99" s="31"/>
      <c r="B99" s="28" t="s">
        <v>368</v>
      </c>
      <c r="C99" s="13"/>
      <c r="D99" s="180"/>
      <c r="E99" s="180">
        <v>250</v>
      </c>
      <c r="F99" s="180"/>
      <c r="G99" s="33"/>
      <c r="H99" s="93"/>
      <c r="I99" s="5"/>
      <c r="J99" s="5"/>
    </row>
    <row r="100" spans="1:10" ht="22.5" customHeight="1">
      <c r="A100" s="299" t="s">
        <v>10</v>
      </c>
      <c r="B100" s="300"/>
      <c r="C100" s="13"/>
      <c r="D100" s="184">
        <f>D101+D103</f>
        <v>475.4</v>
      </c>
      <c r="E100" s="184">
        <f>E101+E103</f>
        <v>330</v>
      </c>
      <c r="F100" s="184"/>
      <c r="G100" s="191"/>
      <c r="H100" s="194"/>
      <c r="I100" s="5"/>
      <c r="J100" s="5"/>
    </row>
    <row r="101" spans="1:10" ht="22.5" customHeight="1">
      <c r="A101" s="303" t="s">
        <v>89</v>
      </c>
      <c r="B101" s="304"/>
      <c r="C101" s="13">
        <v>1031</v>
      </c>
      <c r="D101" s="184">
        <v>68</v>
      </c>
      <c r="E101" s="184"/>
      <c r="F101" s="184"/>
      <c r="G101" s="191"/>
      <c r="H101" s="194"/>
      <c r="I101" s="5"/>
      <c r="J101" s="5"/>
    </row>
    <row r="102" spans="1:10" ht="22.5" customHeight="1">
      <c r="A102" s="224"/>
      <c r="B102" s="135" t="s">
        <v>340</v>
      </c>
      <c r="C102" s="9"/>
      <c r="D102" s="184">
        <v>68</v>
      </c>
      <c r="E102" s="184"/>
      <c r="F102" s="184"/>
      <c r="G102" s="191"/>
      <c r="H102" s="194"/>
      <c r="I102" s="5"/>
      <c r="J102" s="5"/>
    </row>
    <row r="103" spans="1:10" ht="18" customHeight="1">
      <c r="A103" s="291" t="s">
        <v>196</v>
      </c>
      <c r="B103" s="292"/>
      <c r="C103" s="199">
        <v>1035</v>
      </c>
      <c r="D103" s="184">
        <f>SUM(D104:D106)</f>
        <v>407.4</v>
      </c>
      <c r="E103" s="184">
        <f>SUM(E104:E106)</f>
        <v>330</v>
      </c>
      <c r="F103" s="184">
        <f>SUM(F104:F106)</f>
        <v>117.5</v>
      </c>
      <c r="G103" s="191">
        <f t="shared" si="11"/>
        <v>-212.5</v>
      </c>
      <c r="H103" s="191">
        <f t="shared" si="12"/>
        <v>35.606060606060609</v>
      </c>
      <c r="I103" s="5"/>
      <c r="J103" s="5"/>
    </row>
    <row r="104" spans="1:10" ht="22.5" customHeight="1">
      <c r="A104" s="9"/>
      <c r="B104" s="16" t="s">
        <v>341</v>
      </c>
      <c r="C104" s="204"/>
      <c r="D104" s="180">
        <v>71.099999999999994</v>
      </c>
      <c r="E104" s="192"/>
      <c r="F104" s="180">
        <v>93.5</v>
      </c>
      <c r="G104" s="33">
        <f t="shared" si="11"/>
        <v>93.5</v>
      </c>
      <c r="H104" s="33" t="e">
        <f t="shared" si="12"/>
        <v>#DIV/0!</v>
      </c>
      <c r="I104" s="5"/>
      <c r="J104" s="5"/>
    </row>
    <row r="105" spans="1:10" ht="21" customHeight="1">
      <c r="A105" s="9"/>
      <c r="B105" s="31" t="s">
        <v>130</v>
      </c>
      <c r="C105" s="202"/>
      <c r="D105" s="180">
        <v>84.3</v>
      </c>
      <c r="E105" s="192">
        <v>90</v>
      </c>
      <c r="F105" s="180"/>
      <c r="G105" s="33">
        <f t="shared" si="11"/>
        <v>-90</v>
      </c>
      <c r="H105" s="33">
        <f t="shared" si="12"/>
        <v>0</v>
      </c>
      <c r="I105" s="5"/>
      <c r="J105" s="5"/>
    </row>
    <row r="106" spans="1:10" ht="24.75" customHeight="1">
      <c r="A106" s="9"/>
      <c r="B106" s="16" t="s">
        <v>134</v>
      </c>
      <c r="C106" s="202"/>
      <c r="D106" s="180">
        <v>252</v>
      </c>
      <c r="E106" s="192">
        <v>240</v>
      </c>
      <c r="F106" s="180">
        <v>24</v>
      </c>
      <c r="G106" s="33">
        <f t="shared" si="11"/>
        <v>-216</v>
      </c>
      <c r="H106" s="93">
        <f t="shared" si="12"/>
        <v>10</v>
      </c>
      <c r="I106" s="5"/>
      <c r="J106" s="5"/>
    </row>
    <row r="107" spans="1:10" ht="127.5" customHeight="1">
      <c r="A107" s="5"/>
      <c r="B107" s="296" t="s">
        <v>132</v>
      </c>
      <c r="C107" s="296"/>
      <c r="D107" s="294"/>
      <c r="E107" s="294"/>
      <c r="F107" s="296" t="s">
        <v>246</v>
      </c>
      <c r="G107" s="296"/>
      <c r="H107" s="296"/>
      <c r="I107" s="5"/>
      <c r="J107" s="5"/>
    </row>
    <row r="108" spans="1:10" ht="18.75" customHeight="1">
      <c r="A108" s="5"/>
      <c r="B108" s="222" t="s">
        <v>54</v>
      </c>
      <c r="C108" s="6"/>
      <c r="D108" s="295" t="s">
        <v>9</v>
      </c>
      <c r="E108" s="295"/>
      <c r="F108" s="290" t="s">
        <v>14</v>
      </c>
      <c r="G108" s="290"/>
      <c r="H108" s="290"/>
      <c r="I108" s="5"/>
      <c r="J108" s="5"/>
    </row>
    <row r="109" spans="1:10">
      <c r="B109" s="159"/>
    </row>
    <row r="110" spans="1:10">
      <c r="B110" s="159"/>
    </row>
    <row r="111" spans="1:10">
      <c r="B111" s="159"/>
    </row>
    <row r="112" spans="1:10">
      <c r="B112" s="159"/>
    </row>
    <row r="113" spans="2:2">
      <c r="B113" s="159"/>
    </row>
    <row r="114" spans="2:2">
      <c r="B114" s="159"/>
    </row>
    <row r="115" spans="2:2">
      <c r="B115" s="159"/>
    </row>
    <row r="116" spans="2:2">
      <c r="B116" s="159"/>
    </row>
    <row r="117" spans="2:2">
      <c r="B117" s="159"/>
    </row>
    <row r="118" spans="2:2">
      <c r="B118" s="159"/>
    </row>
    <row r="119" spans="2:2">
      <c r="B119" s="159"/>
    </row>
    <row r="120" spans="2:2">
      <c r="B120" s="159"/>
    </row>
    <row r="121" spans="2:2">
      <c r="B121" s="159"/>
    </row>
    <row r="122" spans="2:2">
      <c r="B122" s="159"/>
    </row>
    <row r="123" spans="2:2">
      <c r="B123" s="159"/>
    </row>
    <row r="124" spans="2:2">
      <c r="B124" s="159"/>
    </row>
    <row r="125" spans="2:2">
      <c r="B125" s="159"/>
    </row>
    <row r="126" spans="2:2">
      <c r="B126" s="159"/>
    </row>
    <row r="127" spans="2:2">
      <c r="B127" s="159"/>
    </row>
    <row r="128" spans="2:2">
      <c r="B128" s="159"/>
    </row>
    <row r="129" spans="2:2">
      <c r="B129" s="159"/>
    </row>
    <row r="130" spans="2:2">
      <c r="B130" s="159"/>
    </row>
    <row r="131" spans="2:2">
      <c r="B131" s="159"/>
    </row>
    <row r="132" spans="2:2">
      <c r="B132" s="159"/>
    </row>
    <row r="133" spans="2:2">
      <c r="B133" s="159"/>
    </row>
    <row r="134" spans="2:2">
      <c r="B134" s="159"/>
    </row>
    <row r="135" spans="2:2">
      <c r="B135" s="159"/>
    </row>
    <row r="136" spans="2:2">
      <c r="B136" s="159"/>
    </row>
    <row r="137" spans="2:2">
      <c r="B137" s="159"/>
    </row>
    <row r="138" spans="2:2">
      <c r="B138" s="159"/>
    </row>
    <row r="139" spans="2:2">
      <c r="B139" s="159"/>
    </row>
    <row r="140" spans="2:2">
      <c r="B140" s="159"/>
    </row>
    <row r="141" spans="2:2">
      <c r="B141" s="159"/>
    </row>
    <row r="142" spans="2:2">
      <c r="B142" s="159"/>
    </row>
    <row r="143" spans="2:2">
      <c r="B143" s="159"/>
    </row>
    <row r="144" spans="2:2">
      <c r="B144" s="159"/>
    </row>
    <row r="145" spans="2:2">
      <c r="B145" s="159"/>
    </row>
    <row r="146" spans="2:2">
      <c r="B146" s="159"/>
    </row>
    <row r="147" spans="2:2">
      <c r="B147" s="159"/>
    </row>
    <row r="148" spans="2:2">
      <c r="B148" s="159"/>
    </row>
    <row r="149" spans="2:2">
      <c r="B149" s="159"/>
    </row>
    <row r="150" spans="2:2">
      <c r="B150" s="159"/>
    </row>
    <row r="151" spans="2:2">
      <c r="B151" s="159"/>
    </row>
    <row r="152" spans="2:2">
      <c r="B152" s="159"/>
    </row>
    <row r="153" spans="2:2">
      <c r="B153" s="159"/>
    </row>
    <row r="154" spans="2:2">
      <c r="B154" s="159"/>
    </row>
    <row r="155" spans="2:2">
      <c r="B155" s="159"/>
    </row>
    <row r="156" spans="2:2">
      <c r="B156" s="159"/>
    </row>
    <row r="157" spans="2:2">
      <c r="B157" s="159"/>
    </row>
    <row r="158" spans="2:2">
      <c r="B158" s="159"/>
    </row>
    <row r="159" spans="2:2">
      <c r="B159" s="159"/>
    </row>
    <row r="160" spans="2:2">
      <c r="B160" s="159"/>
    </row>
    <row r="161" spans="2:2">
      <c r="B161" s="159"/>
    </row>
    <row r="162" spans="2:2">
      <c r="B162" s="159"/>
    </row>
    <row r="163" spans="2:2">
      <c r="B163" s="159"/>
    </row>
    <row r="164" spans="2:2">
      <c r="B164" s="159"/>
    </row>
    <row r="165" spans="2:2">
      <c r="B165" s="159"/>
    </row>
    <row r="166" spans="2:2">
      <c r="B166" s="159"/>
    </row>
    <row r="167" spans="2:2">
      <c r="B167" s="159"/>
    </row>
    <row r="168" spans="2:2">
      <c r="B168" s="159"/>
    </row>
    <row r="169" spans="2:2">
      <c r="B169" s="159"/>
    </row>
    <row r="170" spans="2:2">
      <c r="B170" s="159"/>
    </row>
    <row r="171" spans="2:2">
      <c r="B171" s="159"/>
    </row>
    <row r="172" spans="2:2">
      <c r="B172" s="159"/>
    </row>
    <row r="173" spans="2:2">
      <c r="B173" s="159"/>
    </row>
    <row r="174" spans="2:2">
      <c r="B174" s="159"/>
    </row>
    <row r="175" spans="2:2">
      <c r="B175" s="159"/>
    </row>
    <row r="176" spans="2:2">
      <c r="B176" s="159"/>
    </row>
    <row r="177" spans="2:2">
      <c r="B177" s="159"/>
    </row>
    <row r="178" spans="2:2">
      <c r="B178" s="159"/>
    </row>
    <row r="179" spans="2:2">
      <c r="B179" s="159"/>
    </row>
    <row r="180" spans="2:2">
      <c r="B180" s="159"/>
    </row>
    <row r="181" spans="2:2">
      <c r="B181" s="159"/>
    </row>
    <row r="182" spans="2:2">
      <c r="B182" s="159"/>
    </row>
    <row r="183" spans="2:2">
      <c r="B183" s="159"/>
    </row>
    <row r="184" spans="2:2">
      <c r="B184" s="159"/>
    </row>
    <row r="185" spans="2:2">
      <c r="B185" s="159"/>
    </row>
    <row r="186" spans="2:2">
      <c r="B186" s="159"/>
    </row>
    <row r="187" spans="2:2">
      <c r="B187" s="159"/>
    </row>
    <row r="188" spans="2:2">
      <c r="B188" s="159"/>
    </row>
    <row r="189" spans="2:2">
      <c r="B189" s="159"/>
    </row>
    <row r="190" spans="2:2">
      <c r="B190" s="159"/>
    </row>
    <row r="191" spans="2:2">
      <c r="B191" s="159"/>
    </row>
    <row r="192" spans="2:2">
      <c r="B192" s="159"/>
    </row>
    <row r="193" spans="2:2">
      <c r="B193" s="159"/>
    </row>
    <row r="194" spans="2:2">
      <c r="B194" s="159"/>
    </row>
    <row r="195" spans="2:2">
      <c r="B195" s="159"/>
    </row>
    <row r="196" spans="2:2">
      <c r="B196" s="159"/>
    </row>
    <row r="197" spans="2:2">
      <c r="B197" s="159"/>
    </row>
    <row r="198" spans="2:2">
      <c r="B198" s="159"/>
    </row>
    <row r="199" spans="2:2">
      <c r="B199" s="159"/>
    </row>
    <row r="200" spans="2:2">
      <c r="B200" s="159"/>
    </row>
    <row r="201" spans="2:2">
      <c r="B201" s="159"/>
    </row>
    <row r="202" spans="2:2">
      <c r="B202" s="159"/>
    </row>
    <row r="203" spans="2:2">
      <c r="B203" s="159"/>
    </row>
    <row r="204" spans="2:2">
      <c r="B204" s="159"/>
    </row>
    <row r="205" spans="2:2">
      <c r="B205" s="159"/>
    </row>
    <row r="206" spans="2:2">
      <c r="B206" s="159"/>
    </row>
    <row r="207" spans="2:2">
      <c r="B207" s="159"/>
    </row>
    <row r="208" spans="2:2">
      <c r="B208" s="159"/>
    </row>
    <row r="209" spans="2:2">
      <c r="B209" s="159"/>
    </row>
    <row r="210" spans="2:2">
      <c r="B210" s="159"/>
    </row>
    <row r="211" spans="2:2">
      <c r="B211" s="159"/>
    </row>
    <row r="212" spans="2:2">
      <c r="B212" s="159"/>
    </row>
  </sheetData>
  <mergeCells count="21">
    <mergeCell ref="A81:B81"/>
    <mergeCell ref="F107:H107"/>
    <mergeCell ref="A27:B27"/>
    <mergeCell ref="A80:B80"/>
    <mergeCell ref="A100:B100"/>
    <mergeCell ref="F108:H108"/>
    <mergeCell ref="A85:B85"/>
    <mergeCell ref="A103:B103"/>
    <mergeCell ref="A1:H1"/>
    <mergeCell ref="D107:E107"/>
    <mergeCell ref="D108:E108"/>
    <mergeCell ref="B107:C107"/>
    <mergeCell ref="A26:B26"/>
    <mergeCell ref="A5:B5"/>
    <mergeCell ref="A6:B6"/>
    <mergeCell ref="A12:B12"/>
    <mergeCell ref="A21:B21"/>
    <mergeCell ref="A23:B23"/>
    <mergeCell ref="A28:B28"/>
    <mergeCell ref="A47:B47"/>
    <mergeCell ref="A101:B101"/>
  </mergeCells>
  <printOptions horizontalCentered="1"/>
  <pageMargins left="0.39370078740157483" right="0.39370078740157483" top="0.78740157480314965" bottom="0.39370078740157483" header="0.39370078740157483" footer="0.19685039370078741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</sheetPr>
  <dimension ref="A1:R240"/>
  <sheetViews>
    <sheetView view="pageBreakPreview" zoomScale="80" zoomScaleNormal="70" zoomScaleSheetLayoutView="80" workbookViewId="0">
      <selection activeCell="E12" sqref="E12"/>
    </sheetView>
  </sheetViews>
  <sheetFormatPr defaultRowHeight="18.75"/>
  <cols>
    <col min="1" max="1" width="9" style="97" customWidth="1"/>
    <col min="2" max="2" width="59" style="97" customWidth="1"/>
    <col min="3" max="3" width="9.42578125" style="30" customWidth="1"/>
    <col min="4" max="4" width="16.7109375" style="178" customWidth="1"/>
    <col min="5" max="5" width="16.7109375" style="212" customWidth="1"/>
    <col min="6" max="6" width="16.7109375" style="30" customWidth="1"/>
    <col min="7" max="7" width="14.7109375" style="97" customWidth="1"/>
    <col min="8" max="8" width="14.140625" style="97" customWidth="1"/>
    <col min="9" max="9" width="17.5703125" style="97" customWidth="1"/>
    <col min="10" max="10" width="31.7109375" style="98" customWidth="1"/>
    <col min="11" max="11" width="19.7109375" style="104" customWidth="1"/>
    <col min="12" max="12" width="16" style="152" customWidth="1"/>
    <col min="13" max="13" width="17.140625" style="152" customWidth="1"/>
    <col min="14" max="14" width="16.7109375" style="97" customWidth="1"/>
    <col min="15" max="15" width="15.5703125" style="97" customWidth="1"/>
    <col min="16" max="16" width="12.7109375" style="97" customWidth="1"/>
    <col min="17" max="17" width="5.7109375" style="97" customWidth="1"/>
    <col min="18" max="16384" width="9.140625" style="97"/>
  </cols>
  <sheetData>
    <row r="1" spans="1:18" ht="47.25" customHeight="1">
      <c r="A1" s="102"/>
      <c r="B1" s="307" t="s">
        <v>100</v>
      </c>
      <c r="C1" s="307"/>
      <c r="D1" s="307"/>
      <c r="E1" s="307"/>
      <c r="F1" s="307"/>
      <c r="G1" s="307"/>
      <c r="H1" s="307"/>
    </row>
    <row r="2" spans="1:18" ht="18.75" customHeight="1">
      <c r="A2" s="102"/>
      <c r="B2" s="227"/>
      <c r="C2" s="226"/>
      <c r="D2" s="227"/>
      <c r="E2" s="227"/>
      <c r="F2" s="227"/>
      <c r="G2" s="102"/>
      <c r="H2" s="102" t="s">
        <v>59</v>
      </c>
    </row>
    <row r="3" spans="1:18" s="99" customFormat="1" ht="63" customHeight="1">
      <c r="A3" s="29" t="s">
        <v>6</v>
      </c>
      <c r="B3" s="29" t="s">
        <v>20</v>
      </c>
      <c r="C3" s="29" t="s">
        <v>4</v>
      </c>
      <c r="D3" s="11" t="s">
        <v>326</v>
      </c>
      <c r="E3" s="10" t="s">
        <v>327</v>
      </c>
      <c r="F3" s="11" t="s">
        <v>328</v>
      </c>
      <c r="G3" s="9" t="s">
        <v>183</v>
      </c>
      <c r="H3" s="9" t="s">
        <v>184</v>
      </c>
      <c r="J3" s="103"/>
      <c r="K3" s="104"/>
      <c r="L3" s="104"/>
      <c r="M3" s="104"/>
    </row>
    <row r="4" spans="1:18" s="99" customFormat="1" ht="19.5" customHeight="1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>
        <v>8</v>
      </c>
      <c r="J4" s="103"/>
      <c r="K4" s="104"/>
      <c r="L4" s="104"/>
      <c r="M4" s="104"/>
    </row>
    <row r="5" spans="1:18" s="99" customFormat="1" ht="31.5" customHeight="1">
      <c r="A5" s="291" t="s">
        <v>70</v>
      </c>
      <c r="B5" s="292"/>
      <c r="C5" s="108"/>
      <c r="D5" s="27">
        <f>SUM(D6,D71,D76,D86,D92,D117,D128,D133,D155,D160,D166,D176,D195,D199,D171,D111)</f>
        <v>168859.09999999998</v>
      </c>
      <c r="E5" s="27">
        <f t="shared" ref="E5:F5" si="0">SUM(E6,E71,E76,E86,E92,E117,E128,E133,E155,E160,E166,E176,E195,E199,E171,E111)</f>
        <v>188166.7</v>
      </c>
      <c r="F5" s="27">
        <f t="shared" si="0"/>
        <v>191299.90000000002</v>
      </c>
      <c r="G5" s="63">
        <f t="shared" ref="G5" si="1">F5-E5</f>
        <v>3133.2000000000116</v>
      </c>
      <c r="H5" s="63">
        <f t="shared" ref="H5" si="2">(F5/E5)*100</f>
        <v>101.66511927987258</v>
      </c>
      <c r="I5" s="216"/>
      <c r="J5" s="215"/>
      <c r="K5" s="104"/>
      <c r="L5" s="104"/>
      <c r="M5" s="104"/>
    </row>
    <row r="6" spans="1:18" s="99" customFormat="1" ht="41.25" customHeight="1">
      <c r="A6" s="13" t="s">
        <v>71</v>
      </c>
      <c r="B6" s="171" t="s">
        <v>101</v>
      </c>
      <c r="C6" s="172"/>
      <c r="D6" s="27">
        <f>SUM(D8,D50,D65)</f>
        <v>133485.80000000002</v>
      </c>
      <c r="E6" s="27">
        <f>SUM(E8,E50,E65)</f>
        <v>163171.1</v>
      </c>
      <c r="F6" s="27">
        <f>SUM(F8,F50,F65)</f>
        <v>156170.00000000003</v>
      </c>
      <c r="G6" s="63">
        <f>F6-E6</f>
        <v>-7001.0999999999767</v>
      </c>
      <c r="H6" s="63">
        <f>(F6/E6)*100</f>
        <v>95.70935049160056</v>
      </c>
      <c r="I6" s="105"/>
      <c r="J6" s="215"/>
      <c r="K6" s="104"/>
      <c r="L6" s="104"/>
      <c r="M6" s="104"/>
      <c r="N6" s="106"/>
    </row>
    <row r="7" spans="1:18" s="99" customFormat="1" ht="24" customHeight="1">
      <c r="A7" s="9"/>
      <c r="B7" s="107" t="s">
        <v>72</v>
      </c>
      <c r="C7" s="108"/>
      <c r="D7" s="26"/>
      <c r="E7" s="26"/>
      <c r="F7" s="26"/>
      <c r="G7" s="63"/>
      <c r="H7" s="63"/>
      <c r="J7" s="103"/>
      <c r="K7" s="104">
        <f>K9+K17+K25</f>
        <v>168784.79999999996</v>
      </c>
      <c r="L7" s="104">
        <f>L9+L17+L25</f>
        <v>188166.7</v>
      </c>
      <c r="M7" s="104">
        <f>M9+M17+M25</f>
        <v>191252.90000000005</v>
      </c>
    </row>
    <row r="8" spans="1:18" s="99" customFormat="1" ht="43.5" customHeight="1">
      <c r="A8" s="109" t="s">
        <v>73</v>
      </c>
      <c r="B8" s="20" t="s">
        <v>76</v>
      </c>
      <c r="C8" s="110">
        <v>1010</v>
      </c>
      <c r="D8" s="111">
        <f>SUM(D9,D20,D21,D23,D22)</f>
        <v>122651.70000000001</v>
      </c>
      <c r="E8" s="111">
        <f>SUM(E9,E20,E21,E22,E23)</f>
        <v>149909.1</v>
      </c>
      <c r="F8" s="111">
        <f>SUM(F9,F19,F20,F21,F23,F22)</f>
        <v>143768.6</v>
      </c>
      <c r="G8" s="112">
        <f t="shared" ref="G8:G16" si="3">F8-E8</f>
        <v>-6140.5</v>
      </c>
      <c r="H8" s="112">
        <f t="shared" ref="H8:H9" si="4">(F8/E8)*100</f>
        <v>95.903851067079984</v>
      </c>
      <c r="I8" s="105"/>
      <c r="J8" s="103"/>
      <c r="K8" s="153"/>
      <c r="L8" s="154"/>
      <c r="M8" s="153"/>
      <c r="N8" s="141"/>
      <c r="P8" s="106"/>
    </row>
    <row r="9" spans="1:18" s="99" customFormat="1" ht="22.5" customHeight="1">
      <c r="A9" s="113" t="s">
        <v>159</v>
      </c>
      <c r="B9" s="107" t="s">
        <v>89</v>
      </c>
      <c r="C9" s="121">
        <v>1011</v>
      </c>
      <c r="D9" s="119">
        <f>SUM(D10:D18)</f>
        <v>31075.599999999999</v>
      </c>
      <c r="E9" s="119">
        <f>SUM(E10:E18)</f>
        <v>51866.5</v>
      </c>
      <c r="F9" s="119">
        <f>SUM(F10:F18)</f>
        <v>44937.4</v>
      </c>
      <c r="G9" s="122">
        <f t="shared" si="3"/>
        <v>-6929.0999999999985</v>
      </c>
      <c r="H9" s="122">
        <f t="shared" si="4"/>
        <v>86.640509770275614</v>
      </c>
      <c r="I9" s="105"/>
      <c r="J9" s="103">
        <v>1010</v>
      </c>
      <c r="K9" s="153">
        <f>SUM(D8,D73,D78,D88,D94,D113,D119,D135,D157,D162,D168,D173,D178,D201)</f>
        <v>156953.49999999997</v>
      </c>
      <c r="L9" s="153">
        <f>SUM(E8,E73,E78,E88,E94,E113,E119,E135,E162,E168,E173,E178,E201)</f>
        <v>173089.90000000002</v>
      </c>
      <c r="M9" s="153">
        <f>SUM(F8,F73,F78,F88,F94,F113,F119,F135,F162,F168,F173,F178,F201)</f>
        <v>177682.50000000003</v>
      </c>
      <c r="N9" s="141"/>
      <c r="O9" s="118"/>
    </row>
    <row r="10" spans="1:18" s="99" customFormat="1" ht="37.5">
      <c r="A10" s="114"/>
      <c r="B10" s="28" t="s">
        <v>186</v>
      </c>
      <c r="C10" s="9"/>
      <c r="D10" s="26">
        <v>2.6</v>
      </c>
      <c r="E10" s="243">
        <v>13</v>
      </c>
      <c r="F10" s="26">
        <v>43.9</v>
      </c>
      <c r="G10" s="19">
        <f t="shared" si="3"/>
        <v>30.9</v>
      </c>
      <c r="H10" s="146">
        <f>G10/F10*100</f>
        <v>70.387243735763093</v>
      </c>
      <c r="I10" s="106"/>
      <c r="J10" s="103">
        <v>1011</v>
      </c>
      <c r="K10" s="154">
        <f>SUM(D9,D79,D114,D120,D136,D158,D163,D169,D174,D179,D89,D95)</f>
        <v>52219.700000000004</v>
      </c>
      <c r="L10" s="154">
        <f>SUM(E9,E79,E114,E120,E136,E163,E169,E174,E179,E89,E95)</f>
        <v>61000.299999999996</v>
      </c>
      <c r="M10" s="154">
        <f>SUM(F9,F79,F114,F120,F136,F163,F169,F174,F179,F89,F95,)</f>
        <v>62393.299999999996</v>
      </c>
      <c r="N10" s="141"/>
    </row>
    <row r="11" spans="1:18" s="99" customFormat="1" ht="38.25" customHeight="1">
      <c r="A11" s="114"/>
      <c r="B11" s="16" t="s">
        <v>309</v>
      </c>
      <c r="C11" s="9"/>
      <c r="D11" s="26">
        <v>141.5</v>
      </c>
      <c r="E11" s="243">
        <v>145</v>
      </c>
      <c r="F11" s="26">
        <v>186.3</v>
      </c>
      <c r="G11" s="19">
        <f t="shared" si="3"/>
        <v>41.300000000000011</v>
      </c>
      <c r="H11" s="19">
        <f t="shared" ref="H11:H16" si="5">G11/F11*100</f>
        <v>22.168545356951157</v>
      </c>
      <c r="I11" s="106"/>
      <c r="J11" s="103">
        <v>1012</v>
      </c>
      <c r="K11" s="154">
        <f>SUM(D20,D74,D84,)</f>
        <v>73555.5</v>
      </c>
      <c r="L11" s="154">
        <f>SUM(E20,E74,E84,)</f>
        <v>78875.8</v>
      </c>
      <c r="M11" s="154">
        <f>SUM(F19,F20,F74,F84,)</f>
        <v>79241.3</v>
      </c>
      <c r="N11" s="141"/>
    </row>
    <row r="12" spans="1:18" s="99" customFormat="1" ht="21" customHeight="1">
      <c r="A12" s="114"/>
      <c r="B12" s="31" t="s">
        <v>139</v>
      </c>
      <c r="C12" s="9"/>
      <c r="D12" s="26">
        <v>127.4</v>
      </c>
      <c r="E12" s="180">
        <v>130</v>
      </c>
      <c r="F12" s="26">
        <v>52.9</v>
      </c>
      <c r="G12" s="19">
        <f t="shared" si="3"/>
        <v>-77.099999999999994</v>
      </c>
      <c r="H12" s="19">
        <f t="shared" si="5"/>
        <v>-145.74669187145557</v>
      </c>
      <c r="I12" s="106"/>
      <c r="J12" s="103">
        <v>1013</v>
      </c>
      <c r="K12" s="154">
        <f>SUM(D21,D75,D85,)</f>
        <v>15976.699999999999</v>
      </c>
      <c r="L12" s="154">
        <f>SUM(E21,E75,E85,)</f>
        <v>17175.699999999997</v>
      </c>
      <c r="M12" s="154">
        <f>SUM(F21,F75,F85,)</f>
        <v>17184</v>
      </c>
      <c r="N12" s="141"/>
    </row>
    <row r="13" spans="1:18" s="99" customFormat="1" ht="21.75" customHeight="1">
      <c r="A13" s="114"/>
      <c r="B13" s="31" t="s">
        <v>112</v>
      </c>
      <c r="C13" s="9"/>
      <c r="D13" s="26">
        <v>11.1</v>
      </c>
      <c r="E13" s="243">
        <v>15</v>
      </c>
      <c r="F13" s="26">
        <v>7.4</v>
      </c>
      <c r="G13" s="19">
        <f t="shared" si="3"/>
        <v>-7.6</v>
      </c>
      <c r="H13" s="19"/>
      <c r="I13" s="106"/>
      <c r="J13" s="103">
        <v>1014</v>
      </c>
      <c r="K13" s="154">
        <f>SUM(D22,D202)</f>
        <v>12932.199999999999</v>
      </c>
      <c r="L13" s="154">
        <f>SUM(E22,E202)</f>
        <v>13840</v>
      </c>
      <c r="M13" s="154">
        <f>SUM(F22,F202)</f>
        <v>16773.399999999998</v>
      </c>
      <c r="N13" s="141"/>
    </row>
    <row r="14" spans="1:18" s="99" customFormat="1" ht="36.75" customHeight="1">
      <c r="A14" s="114"/>
      <c r="B14" s="31" t="s">
        <v>252</v>
      </c>
      <c r="C14" s="9"/>
      <c r="D14" s="26">
        <v>404.9</v>
      </c>
      <c r="E14" s="243">
        <v>350</v>
      </c>
      <c r="F14" s="26">
        <v>357.7</v>
      </c>
      <c r="G14" s="19">
        <f t="shared" si="3"/>
        <v>7.6999999999999886</v>
      </c>
      <c r="H14" s="19">
        <f t="shared" si="5"/>
        <v>2.1526418786692725</v>
      </c>
      <c r="I14" s="106"/>
      <c r="J14" s="115">
        <v>1015</v>
      </c>
      <c r="K14" s="154">
        <f>SUM(D23,D146,D183,)</f>
        <v>2269.4</v>
      </c>
      <c r="L14" s="154">
        <f>SUM(E23,E183,)</f>
        <v>2198.1</v>
      </c>
      <c r="M14" s="154">
        <f>SUM(F23,F103,F146,F183,)</f>
        <v>2090.5000000000005</v>
      </c>
      <c r="N14" s="117"/>
      <c r="O14" s="118"/>
      <c r="R14" s="118"/>
    </row>
    <row r="15" spans="1:18" s="99" customFormat="1" ht="22.5" customHeight="1">
      <c r="A15" s="114"/>
      <c r="B15" s="16" t="s">
        <v>141</v>
      </c>
      <c r="C15" s="9"/>
      <c r="D15" s="26">
        <v>2.2000000000000002</v>
      </c>
      <c r="E15" s="243">
        <v>3.5</v>
      </c>
      <c r="F15" s="26">
        <v>82.5</v>
      </c>
      <c r="G15" s="19">
        <f t="shared" si="3"/>
        <v>79</v>
      </c>
      <c r="H15" s="146">
        <f t="shared" si="5"/>
        <v>95.757575757575751</v>
      </c>
      <c r="I15" s="115"/>
      <c r="J15" s="103"/>
      <c r="K15" s="152"/>
      <c r="L15" s="152"/>
      <c r="M15" s="152"/>
      <c r="N15" s="97"/>
    </row>
    <row r="16" spans="1:18" s="99" customFormat="1" ht="22.5" customHeight="1">
      <c r="A16" s="114"/>
      <c r="B16" s="16" t="s">
        <v>143</v>
      </c>
      <c r="C16" s="9"/>
      <c r="D16" s="26">
        <v>14.6</v>
      </c>
      <c r="E16" s="243">
        <v>10</v>
      </c>
      <c r="F16" s="26"/>
      <c r="G16" s="19">
        <f t="shared" si="3"/>
        <v>-10</v>
      </c>
      <c r="H16" s="146" t="e">
        <f t="shared" si="5"/>
        <v>#DIV/0!</v>
      </c>
      <c r="I16" s="115"/>
      <c r="J16" s="103"/>
      <c r="K16" s="152"/>
      <c r="L16" s="152"/>
      <c r="M16" s="152"/>
      <c r="N16" s="97"/>
    </row>
    <row r="17" spans="1:14" s="99" customFormat="1" ht="22.5" customHeight="1">
      <c r="A17" s="114"/>
      <c r="B17" s="16" t="s">
        <v>110</v>
      </c>
      <c r="C17" s="9"/>
      <c r="D17" s="26">
        <v>28999.200000000001</v>
      </c>
      <c r="E17" s="180">
        <v>50000</v>
      </c>
      <c r="F17" s="26">
        <v>42688.3</v>
      </c>
      <c r="G17" s="19">
        <f t="shared" ref="G17:G60" si="6">F17-E17</f>
        <v>-7311.6999999999971</v>
      </c>
      <c r="H17" s="19">
        <f t="shared" ref="H17:H63" si="7">(F17/E17)*100</f>
        <v>85.376599999999996</v>
      </c>
      <c r="J17" s="103">
        <v>1020</v>
      </c>
      <c r="K17" s="153">
        <f>SUM(D50,D105,D125,D130,D189,)</f>
        <v>7689.5000000000009</v>
      </c>
      <c r="L17" s="153">
        <f>SUM(E50,E105,E125,E130,E189,)</f>
        <v>9086.7999999999993</v>
      </c>
      <c r="M17" s="153">
        <f>SUM(F50,F105,F125,F130,F189,)</f>
        <v>8494.7000000000007</v>
      </c>
      <c r="N17" s="116"/>
    </row>
    <row r="18" spans="1:14" s="99" customFormat="1" ht="22.5" customHeight="1">
      <c r="A18" s="114"/>
      <c r="B18" s="16" t="s">
        <v>131</v>
      </c>
      <c r="C18" s="9"/>
      <c r="D18" s="26">
        <v>1372.1</v>
      </c>
      <c r="E18" s="244">
        <v>1200</v>
      </c>
      <c r="F18" s="26">
        <v>1518.4</v>
      </c>
      <c r="G18" s="19">
        <f t="shared" si="6"/>
        <v>318.40000000000009</v>
      </c>
      <c r="H18" s="19">
        <f t="shared" si="7"/>
        <v>126.53333333333335</v>
      </c>
      <c r="I18" s="120"/>
      <c r="J18" s="103">
        <v>1021</v>
      </c>
      <c r="K18" s="154">
        <f>SUM(D51,D131,)</f>
        <v>85</v>
      </c>
      <c r="L18" s="154">
        <f>SUM(E51,E131,)</f>
        <v>110</v>
      </c>
      <c r="M18" s="154">
        <f>SUM(F51,F131,)</f>
        <v>42.1</v>
      </c>
    </row>
    <row r="19" spans="1:14" s="99" customFormat="1" ht="22.5" customHeight="1">
      <c r="A19" s="113" t="s">
        <v>160</v>
      </c>
      <c r="B19" s="128" t="s">
        <v>313</v>
      </c>
      <c r="C19" s="121">
        <v>1012</v>
      </c>
      <c r="D19" s="26"/>
      <c r="E19" s="244"/>
      <c r="F19" s="119">
        <v>352.5</v>
      </c>
      <c r="G19" s="19"/>
      <c r="H19" s="19"/>
      <c r="I19" s="120"/>
      <c r="J19" s="103"/>
      <c r="K19" s="154"/>
      <c r="L19" s="154"/>
      <c r="M19" s="154"/>
    </row>
    <row r="20" spans="1:14" s="99" customFormat="1" ht="24" customHeight="1">
      <c r="A20" s="113" t="s">
        <v>161</v>
      </c>
      <c r="B20" s="107" t="s">
        <v>1</v>
      </c>
      <c r="C20" s="121"/>
      <c r="D20" s="119">
        <v>72851.5</v>
      </c>
      <c r="E20" s="245">
        <v>78350</v>
      </c>
      <c r="F20" s="119">
        <v>78269.8</v>
      </c>
      <c r="G20" s="122">
        <f t="shared" si="6"/>
        <v>-80.19999999999709</v>
      </c>
      <c r="H20" s="122">
        <f t="shared" si="7"/>
        <v>99.89763880025528</v>
      </c>
      <c r="I20" s="120"/>
      <c r="J20" s="103">
        <v>1022</v>
      </c>
      <c r="K20" s="154">
        <f t="shared" ref="K20:M20" si="8">SUM(D55,)</f>
        <v>6121.9</v>
      </c>
      <c r="L20" s="154">
        <f t="shared" si="8"/>
        <v>6850</v>
      </c>
      <c r="M20" s="154">
        <f t="shared" si="8"/>
        <v>6690</v>
      </c>
      <c r="N20" s="106"/>
    </row>
    <row r="21" spans="1:14" s="99" customFormat="1" ht="21.75" customHeight="1">
      <c r="A21" s="113" t="s">
        <v>218</v>
      </c>
      <c r="B21" s="107" t="s">
        <v>2</v>
      </c>
      <c r="C21" s="121">
        <v>1013</v>
      </c>
      <c r="D21" s="119">
        <v>15821.8</v>
      </c>
      <c r="E21" s="245">
        <v>17060</v>
      </c>
      <c r="F21" s="119">
        <v>17047.8</v>
      </c>
      <c r="G21" s="122">
        <f t="shared" si="6"/>
        <v>-12.200000000000728</v>
      </c>
      <c r="H21" s="122">
        <f t="shared" si="7"/>
        <v>99.928487690504099</v>
      </c>
      <c r="I21" s="214"/>
      <c r="J21" s="103">
        <v>1023</v>
      </c>
      <c r="K21" s="154">
        <f t="shared" ref="K21:M21" si="9">SUM(D56,)</f>
        <v>1187.3</v>
      </c>
      <c r="L21" s="154">
        <f t="shared" si="9"/>
        <v>1365</v>
      </c>
      <c r="M21" s="154">
        <f t="shared" si="9"/>
        <v>1302.5</v>
      </c>
      <c r="N21" s="97"/>
    </row>
    <row r="22" spans="1:14" s="99" customFormat="1" ht="25.5" customHeight="1">
      <c r="A22" s="113" t="s">
        <v>304</v>
      </c>
      <c r="B22" s="107" t="s">
        <v>3</v>
      </c>
      <c r="C22" s="121">
        <v>1014</v>
      </c>
      <c r="D22" s="119">
        <v>1076.8</v>
      </c>
      <c r="E22" s="245">
        <v>840</v>
      </c>
      <c r="F22" s="119">
        <v>1336.6</v>
      </c>
      <c r="G22" s="122">
        <f t="shared" ref="G22" si="10">F22-E22</f>
        <v>496.59999999999991</v>
      </c>
      <c r="H22" s="122">
        <f t="shared" si="7"/>
        <v>159.11904761904759</v>
      </c>
      <c r="I22" s="123"/>
      <c r="J22" s="103">
        <v>1024</v>
      </c>
      <c r="K22" s="154"/>
      <c r="L22" s="154"/>
      <c r="M22" s="154"/>
      <c r="N22" s="97"/>
    </row>
    <row r="23" spans="1:14" s="99" customFormat="1" ht="22.5" customHeight="1">
      <c r="A23" s="113" t="s">
        <v>312</v>
      </c>
      <c r="B23" s="20" t="s">
        <v>79</v>
      </c>
      <c r="C23" s="110">
        <v>1015</v>
      </c>
      <c r="D23" s="111">
        <f>SUM(D24:D49)</f>
        <v>1826.0000000000002</v>
      </c>
      <c r="E23" s="111">
        <f>SUM(E24:E49)</f>
        <v>1792.6</v>
      </c>
      <c r="F23" s="111">
        <f>SUM(F24:F49)</f>
        <v>1824.5000000000002</v>
      </c>
      <c r="G23" s="112">
        <f>F23-E23</f>
        <v>31.900000000000318</v>
      </c>
      <c r="H23" s="112">
        <f>(F23/E23)*100</f>
        <v>101.77953810108224</v>
      </c>
      <c r="I23" s="105"/>
      <c r="J23" s="103">
        <v>1025</v>
      </c>
      <c r="K23" s="154">
        <f>SUM(D57,D106,D126,D153,D190)</f>
        <v>298.50000000000006</v>
      </c>
      <c r="L23" s="154">
        <f>SUM(E57,E106,E126,E190)</f>
        <v>761.8</v>
      </c>
      <c r="M23" s="154">
        <f>SUM(F57,F106,F126,F190)</f>
        <v>460.09999999999997</v>
      </c>
      <c r="N23" s="116"/>
    </row>
    <row r="24" spans="1:14" ht="36.75" customHeight="1">
      <c r="A24" s="114"/>
      <c r="B24" s="28" t="s">
        <v>187</v>
      </c>
      <c r="C24" s="9"/>
      <c r="D24" s="26">
        <v>22.2</v>
      </c>
      <c r="E24" s="180">
        <v>55</v>
      </c>
      <c r="F24" s="26">
        <f>3.5+5.2+17.1+12.8+16.2</f>
        <v>54.8</v>
      </c>
      <c r="G24" s="19">
        <f t="shared" si="6"/>
        <v>-0.20000000000000284</v>
      </c>
      <c r="H24" s="19">
        <f t="shared" si="7"/>
        <v>99.63636363636364</v>
      </c>
      <c r="I24" s="116"/>
      <c r="J24" s="103"/>
      <c r="K24" s="152"/>
      <c r="N24" s="116"/>
    </row>
    <row r="25" spans="1:14" ht="36.75" customHeight="1">
      <c r="A25" s="114"/>
      <c r="B25" s="31" t="s">
        <v>188</v>
      </c>
      <c r="C25" s="9"/>
      <c r="D25" s="26">
        <v>12.4</v>
      </c>
      <c r="E25" s="180">
        <v>6.5</v>
      </c>
      <c r="F25" s="26">
        <f>1+1.8+1.7+1.6+1.6+1.6+3.9+3.9</f>
        <v>17.099999999999998</v>
      </c>
      <c r="G25" s="19">
        <f t="shared" si="6"/>
        <v>10.599999999999998</v>
      </c>
      <c r="H25" s="19">
        <f t="shared" si="7"/>
        <v>263.07692307692304</v>
      </c>
      <c r="I25" s="120"/>
      <c r="J25" s="103">
        <v>1030</v>
      </c>
      <c r="K25" s="104">
        <f t="shared" ref="K25:M25" si="11">SUM(D65,D192,D203)</f>
        <v>4141.8</v>
      </c>
      <c r="L25" s="104">
        <f t="shared" si="11"/>
        <v>5990</v>
      </c>
      <c r="M25" s="104">
        <f t="shared" si="11"/>
        <v>5075.7</v>
      </c>
      <c r="N25" s="116"/>
    </row>
    <row r="26" spans="1:14" ht="22.5" customHeight="1">
      <c r="A26" s="114"/>
      <c r="B26" s="31" t="s">
        <v>116</v>
      </c>
      <c r="C26" s="13"/>
      <c r="D26" s="26">
        <v>25.3</v>
      </c>
      <c r="E26" s="180">
        <v>23</v>
      </c>
      <c r="F26" s="26">
        <v>23.3</v>
      </c>
      <c r="G26" s="19">
        <f t="shared" si="6"/>
        <v>0.30000000000000071</v>
      </c>
      <c r="H26" s="19">
        <f t="shared" si="7"/>
        <v>101.30434782608695</v>
      </c>
      <c r="J26" s="103">
        <v>1031</v>
      </c>
      <c r="K26" s="152">
        <f>D193</f>
        <v>68</v>
      </c>
      <c r="N26" s="116"/>
    </row>
    <row r="27" spans="1:14" ht="22.5" customHeight="1">
      <c r="A27" s="114"/>
      <c r="B27" s="31" t="s">
        <v>189</v>
      </c>
      <c r="C27" s="13"/>
      <c r="D27" s="26">
        <v>4.5999999999999996</v>
      </c>
      <c r="E27" s="180">
        <v>8</v>
      </c>
      <c r="F27" s="26">
        <v>2.8</v>
      </c>
      <c r="G27" s="19">
        <f t="shared" si="6"/>
        <v>-5.2</v>
      </c>
      <c r="H27" s="19">
        <f t="shared" si="7"/>
        <v>35</v>
      </c>
      <c r="I27" s="124"/>
      <c r="J27" s="103">
        <v>1032</v>
      </c>
      <c r="K27" s="152">
        <f t="shared" ref="K27:M27" si="12">SUM(D66,)</f>
        <v>2405.1</v>
      </c>
      <c r="L27" s="152">
        <f t="shared" si="12"/>
        <v>3300</v>
      </c>
      <c r="M27" s="152">
        <f t="shared" si="12"/>
        <v>3254.6</v>
      </c>
      <c r="N27" s="152"/>
    </row>
    <row r="28" spans="1:14" ht="21.75" customHeight="1">
      <c r="A28" s="114"/>
      <c r="B28" s="31" t="s">
        <v>250</v>
      </c>
      <c r="C28" s="13"/>
      <c r="D28" s="26">
        <v>352.1</v>
      </c>
      <c r="E28" s="180">
        <v>270</v>
      </c>
      <c r="F28" s="26">
        <f>80+8.1+30+155.5</f>
        <v>273.60000000000002</v>
      </c>
      <c r="G28" s="19">
        <f t="shared" si="6"/>
        <v>3.6000000000000227</v>
      </c>
      <c r="H28" s="19">
        <f t="shared" si="7"/>
        <v>101.33333333333334</v>
      </c>
      <c r="I28" s="116"/>
      <c r="J28" s="103">
        <v>1033</v>
      </c>
      <c r="K28" s="152">
        <f t="shared" ref="K28:M28" si="13">SUM(D67,)</f>
        <v>475.4</v>
      </c>
      <c r="L28" s="152">
        <f t="shared" si="13"/>
        <v>660</v>
      </c>
      <c r="M28" s="152">
        <f t="shared" si="13"/>
        <v>637.4</v>
      </c>
    </row>
    <row r="29" spans="1:14" ht="37.5" customHeight="1">
      <c r="A29" s="114"/>
      <c r="B29" s="31" t="s">
        <v>190</v>
      </c>
      <c r="C29" s="13"/>
      <c r="D29" s="26">
        <v>54</v>
      </c>
      <c r="E29" s="180">
        <v>39</v>
      </c>
      <c r="F29" s="26">
        <f>5.8+2.2+12.8+3.1+6+16.3+1.9</f>
        <v>48.1</v>
      </c>
      <c r="G29" s="19">
        <f t="shared" si="6"/>
        <v>9.1000000000000014</v>
      </c>
      <c r="H29" s="19">
        <f t="shared" si="7"/>
        <v>123.33333333333334</v>
      </c>
      <c r="I29" s="116"/>
      <c r="J29" s="103">
        <v>1034</v>
      </c>
      <c r="K29" s="152">
        <f t="shared" ref="K29:M29" si="14">SUM(D204)</f>
        <v>857</v>
      </c>
      <c r="L29" s="152">
        <f t="shared" si="14"/>
        <v>1700</v>
      </c>
      <c r="M29" s="152">
        <f t="shared" si="14"/>
        <v>1050.5</v>
      </c>
      <c r="N29" s="116"/>
    </row>
    <row r="30" spans="1:14" ht="21" customHeight="1">
      <c r="A30" s="114"/>
      <c r="B30" s="31" t="s">
        <v>119</v>
      </c>
      <c r="C30" s="13"/>
      <c r="D30" s="180">
        <v>23.2</v>
      </c>
      <c r="E30" s="180">
        <v>23.3</v>
      </c>
      <c r="F30" s="180">
        <v>25.9</v>
      </c>
      <c r="G30" s="19">
        <f t="shared" si="6"/>
        <v>2.5999999999999979</v>
      </c>
      <c r="H30" s="19">
        <f t="shared" si="7"/>
        <v>111.15879828326179</v>
      </c>
      <c r="I30" s="116"/>
      <c r="J30" s="103">
        <v>1035</v>
      </c>
      <c r="K30" s="152">
        <f>SUM(D68,D198,)</f>
        <v>407.4</v>
      </c>
      <c r="L30" s="152">
        <f>SUM(E68,E198,)</f>
        <v>330</v>
      </c>
      <c r="M30" s="152">
        <f>SUM(F68,F198,)</f>
        <v>180.2</v>
      </c>
      <c r="N30" s="120"/>
    </row>
    <row r="31" spans="1:14" ht="21" customHeight="1">
      <c r="A31" s="114"/>
      <c r="B31" s="16" t="s">
        <v>120</v>
      </c>
      <c r="C31" s="13"/>
      <c r="D31" s="180"/>
      <c r="E31" s="180">
        <v>3</v>
      </c>
      <c r="F31" s="180"/>
      <c r="G31" s="19"/>
      <c r="H31" s="19"/>
      <c r="I31" s="116"/>
      <c r="J31" s="103"/>
      <c r="K31" s="152"/>
      <c r="N31" s="120"/>
    </row>
    <row r="32" spans="1:14" ht="21" customHeight="1">
      <c r="A32" s="114"/>
      <c r="B32" s="31" t="s">
        <v>121</v>
      </c>
      <c r="C32" s="9"/>
      <c r="D32" s="180">
        <v>34.6</v>
      </c>
      <c r="E32" s="180">
        <v>35</v>
      </c>
      <c r="F32" s="180">
        <f>2.6+5.9+38.2+1+1.5+1.5+2.6</f>
        <v>53.300000000000004</v>
      </c>
      <c r="G32" s="19">
        <f t="shared" si="6"/>
        <v>18.300000000000004</v>
      </c>
      <c r="H32" s="19">
        <f t="shared" si="7"/>
        <v>152.28571428571428</v>
      </c>
      <c r="J32" s="97"/>
      <c r="K32" s="97"/>
      <c r="L32" s="97"/>
      <c r="M32" s="97"/>
      <c r="N32" s="120"/>
    </row>
    <row r="33" spans="1:14" ht="23.25" customHeight="1">
      <c r="A33" s="114"/>
      <c r="B33" s="125" t="s">
        <v>173</v>
      </c>
      <c r="C33" s="9"/>
      <c r="D33" s="26"/>
      <c r="E33" s="180"/>
      <c r="F33" s="26">
        <f>0.8+20.9</f>
        <v>21.7</v>
      </c>
      <c r="G33" s="19">
        <f t="shared" si="6"/>
        <v>21.7</v>
      </c>
      <c r="H33" s="19" t="e">
        <f t="shared" si="7"/>
        <v>#DIV/0!</v>
      </c>
      <c r="J33" s="103">
        <v>9000</v>
      </c>
      <c r="K33" s="152">
        <f>K10+K18+K26</f>
        <v>52372.700000000004</v>
      </c>
      <c r="L33" s="152">
        <f>L10+L18+L26</f>
        <v>61110.299999999996</v>
      </c>
      <c r="M33" s="152">
        <f>M10+M18+M26</f>
        <v>62435.399999999994</v>
      </c>
      <c r="N33" s="105"/>
    </row>
    <row r="34" spans="1:14" ht="22.5" customHeight="1">
      <c r="A34" s="114"/>
      <c r="B34" s="31" t="s">
        <v>123</v>
      </c>
      <c r="C34" s="9"/>
      <c r="D34" s="26">
        <v>11.7</v>
      </c>
      <c r="E34" s="180">
        <v>13</v>
      </c>
      <c r="F34" s="26">
        <v>11.3</v>
      </c>
      <c r="G34" s="19">
        <f t="shared" si="6"/>
        <v>-1.6999999999999993</v>
      </c>
      <c r="H34" s="19">
        <f t="shared" si="7"/>
        <v>86.92307692307692</v>
      </c>
      <c r="J34" s="103">
        <v>9010</v>
      </c>
      <c r="K34" s="152">
        <f t="shared" ref="K34" si="15">K11+K20+K27</f>
        <v>82082.5</v>
      </c>
      <c r="L34" s="152">
        <f t="shared" ref="L34:M34" si="16">L11+L20+L27</f>
        <v>89025.8</v>
      </c>
      <c r="M34" s="152">
        <f t="shared" si="16"/>
        <v>89185.900000000009</v>
      </c>
    </row>
    <row r="35" spans="1:14" ht="22.5" customHeight="1">
      <c r="A35" s="114"/>
      <c r="B35" s="31" t="s">
        <v>335</v>
      </c>
      <c r="C35" s="9"/>
      <c r="D35" s="26">
        <v>32.1</v>
      </c>
      <c r="E35" s="180">
        <v>15</v>
      </c>
      <c r="F35" s="26">
        <v>12.9</v>
      </c>
      <c r="G35" s="19">
        <f t="shared" si="6"/>
        <v>-2.0999999999999996</v>
      </c>
      <c r="H35" s="19">
        <f t="shared" si="7"/>
        <v>86</v>
      </c>
      <c r="J35" s="103"/>
      <c r="K35" s="152"/>
    </row>
    <row r="36" spans="1:14" ht="56.25" customHeight="1">
      <c r="A36" s="114"/>
      <c r="B36" s="31" t="s">
        <v>305</v>
      </c>
      <c r="C36" s="9"/>
      <c r="D36" s="26"/>
      <c r="E36" s="180"/>
      <c r="F36" s="26">
        <f>204.4+183</f>
        <v>387.4</v>
      </c>
      <c r="G36" s="19">
        <f t="shared" si="6"/>
        <v>387.4</v>
      </c>
      <c r="H36" s="19" t="e">
        <f t="shared" si="7"/>
        <v>#DIV/0!</v>
      </c>
      <c r="J36" s="103">
        <v>9020</v>
      </c>
      <c r="K36" s="152">
        <f t="shared" ref="K36" si="17">K12+K21+K28</f>
        <v>17639.400000000001</v>
      </c>
      <c r="L36" s="152">
        <f t="shared" ref="L36:M38" si="18">L12+L21+L28</f>
        <v>19200.699999999997</v>
      </c>
      <c r="M36" s="152">
        <f t="shared" si="18"/>
        <v>19123.900000000001</v>
      </c>
    </row>
    <row r="37" spans="1:14" ht="22.5" customHeight="1">
      <c r="A37" s="114"/>
      <c r="B37" s="16" t="s">
        <v>172</v>
      </c>
      <c r="C37" s="126"/>
      <c r="D37" s="26"/>
      <c r="E37" s="180">
        <v>12</v>
      </c>
      <c r="F37" s="26">
        <v>0.8</v>
      </c>
      <c r="G37" s="19">
        <f t="shared" si="6"/>
        <v>-11.2</v>
      </c>
      <c r="H37" s="19">
        <f t="shared" si="7"/>
        <v>6.666666666666667</v>
      </c>
      <c r="J37" s="103">
        <v>9030</v>
      </c>
      <c r="K37" s="152">
        <f t="shared" ref="K37" si="19">K13+K22+K29</f>
        <v>13789.199999999999</v>
      </c>
      <c r="L37" s="152">
        <f t="shared" si="18"/>
        <v>15540</v>
      </c>
      <c r="M37" s="152">
        <f t="shared" si="18"/>
        <v>17823.899999999998</v>
      </c>
    </row>
    <row r="38" spans="1:14" ht="131.25" customHeight="1">
      <c r="A38" s="114"/>
      <c r="B38" s="16" t="s">
        <v>371</v>
      </c>
      <c r="C38" s="9"/>
      <c r="D38" s="26">
        <f>18+36.2+5+5.6+8.4+194.6+27.4</f>
        <v>295.2</v>
      </c>
      <c r="E38" s="180">
        <v>320</v>
      </c>
      <c r="F38" s="26">
        <f>16.3+6.9+171.9+18.5+16.5+14.2+10.9+26.3+14.7+16.3+55.6</f>
        <v>368.1</v>
      </c>
      <c r="G38" s="19">
        <f t="shared" si="6"/>
        <v>48.100000000000023</v>
      </c>
      <c r="H38" s="19">
        <f t="shared" si="7"/>
        <v>115.03125</v>
      </c>
      <c r="J38" s="103">
        <v>9040</v>
      </c>
      <c r="K38" s="152">
        <f t="shared" ref="K38" si="20">K14+K23+K30</f>
        <v>2975.3</v>
      </c>
      <c r="L38" s="152">
        <f t="shared" si="18"/>
        <v>3289.8999999999996</v>
      </c>
      <c r="M38" s="152">
        <f t="shared" si="18"/>
        <v>2730.8</v>
      </c>
    </row>
    <row r="39" spans="1:14" ht="22.5" customHeight="1">
      <c r="A39" s="114"/>
      <c r="B39" s="182" t="s">
        <v>367</v>
      </c>
      <c r="C39" s="9"/>
      <c r="D39" s="26"/>
      <c r="E39" s="180">
        <v>0.2</v>
      </c>
      <c r="F39" s="26"/>
      <c r="G39" s="19"/>
      <c r="H39" s="19"/>
      <c r="J39" s="103"/>
      <c r="K39" s="152"/>
    </row>
    <row r="40" spans="1:14" ht="21.75" customHeight="1">
      <c r="A40" s="114"/>
      <c r="B40" s="31" t="s">
        <v>251</v>
      </c>
      <c r="C40" s="9"/>
      <c r="D40" s="26">
        <v>15.7</v>
      </c>
      <c r="E40" s="180">
        <v>5</v>
      </c>
      <c r="F40" s="26">
        <f>1.4+0.3+0.9+2+2.4+0.5</f>
        <v>7.5</v>
      </c>
      <c r="G40" s="19">
        <f t="shared" si="6"/>
        <v>2.5</v>
      </c>
      <c r="H40" s="19">
        <f t="shared" si="7"/>
        <v>150</v>
      </c>
      <c r="J40" s="103">
        <v>9050</v>
      </c>
      <c r="K40" s="104">
        <f>SUM(K33:K38)</f>
        <v>168859.1</v>
      </c>
      <c r="L40" s="104">
        <f>SUM(L33:L38)</f>
        <v>188166.69999999998</v>
      </c>
      <c r="M40" s="104">
        <f>SUM(M33:M38)</f>
        <v>191299.89999999997</v>
      </c>
    </row>
    <row r="41" spans="1:14" ht="20.25" customHeight="1">
      <c r="A41" s="114"/>
      <c r="B41" s="31" t="s">
        <v>145</v>
      </c>
      <c r="C41" s="9"/>
      <c r="D41" s="26">
        <v>0.5</v>
      </c>
      <c r="E41" s="180">
        <v>0.6</v>
      </c>
      <c r="F41" s="26"/>
      <c r="G41" s="19">
        <f t="shared" si="6"/>
        <v>-0.6</v>
      </c>
      <c r="H41" s="19">
        <f t="shared" si="7"/>
        <v>0</v>
      </c>
    </row>
    <row r="42" spans="1:14" ht="21" customHeight="1">
      <c r="A42" s="114"/>
      <c r="B42" s="31" t="s">
        <v>211</v>
      </c>
      <c r="C42" s="9"/>
      <c r="D42" s="26">
        <v>54</v>
      </c>
      <c r="E42" s="180">
        <v>54</v>
      </c>
      <c r="F42" s="26">
        <v>59.5</v>
      </c>
      <c r="G42" s="19">
        <f t="shared" si="6"/>
        <v>5.5</v>
      </c>
      <c r="H42" s="19">
        <f t="shared" si="7"/>
        <v>110.18518518518519</v>
      </c>
      <c r="J42" s="152"/>
    </row>
    <row r="43" spans="1:14" ht="92.25" customHeight="1">
      <c r="A43" s="114"/>
      <c r="B43" s="16" t="s">
        <v>370</v>
      </c>
      <c r="C43" s="9"/>
      <c r="D43" s="26"/>
      <c r="E43" s="180">
        <v>210</v>
      </c>
      <c r="F43" s="26">
        <f>10.5+8.7+1.1+10.5+8.7</f>
        <v>39.5</v>
      </c>
      <c r="G43" s="19"/>
      <c r="H43" s="19"/>
      <c r="J43" s="152"/>
    </row>
    <row r="44" spans="1:14" ht="20.25" customHeight="1">
      <c r="A44" s="114"/>
      <c r="B44" s="31" t="s">
        <v>129</v>
      </c>
      <c r="C44" s="9"/>
      <c r="D44" s="26">
        <v>194</v>
      </c>
      <c r="E44" s="180">
        <v>220</v>
      </c>
      <c r="F44" s="26">
        <v>122.9</v>
      </c>
      <c r="G44" s="19">
        <f t="shared" si="6"/>
        <v>-97.1</v>
      </c>
      <c r="H44" s="19">
        <f t="shared" si="7"/>
        <v>55.863636363636374</v>
      </c>
    </row>
    <row r="45" spans="1:14" ht="24" customHeight="1">
      <c r="A45" s="114"/>
      <c r="B45" s="31" t="s">
        <v>158</v>
      </c>
      <c r="C45" s="9"/>
      <c r="D45" s="26">
        <v>18.399999999999999</v>
      </c>
      <c r="E45" s="180">
        <v>310</v>
      </c>
      <c r="F45" s="26">
        <v>248.2</v>
      </c>
      <c r="G45" s="19">
        <f t="shared" si="6"/>
        <v>-61.800000000000011</v>
      </c>
      <c r="H45" s="19">
        <f t="shared" si="7"/>
        <v>80.064516129032256</v>
      </c>
    </row>
    <row r="46" spans="1:14" ht="21" customHeight="1">
      <c r="A46" s="114"/>
      <c r="B46" s="31" t="s">
        <v>295</v>
      </c>
      <c r="C46" s="9"/>
      <c r="D46" s="26">
        <v>290.60000000000002</v>
      </c>
      <c r="E46" s="180">
        <v>20</v>
      </c>
      <c r="F46" s="26">
        <v>38.9</v>
      </c>
      <c r="G46" s="19"/>
      <c r="H46" s="19"/>
    </row>
    <row r="47" spans="1:14" ht="21" customHeight="1">
      <c r="A47" s="114"/>
      <c r="B47" s="16" t="s">
        <v>217</v>
      </c>
      <c r="C47" s="9"/>
      <c r="D47" s="26">
        <v>15.3</v>
      </c>
      <c r="E47" s="180"/>
      <c r="F47" s="26"/>
      <c r="G47" s="19"/>
      <c r="H47" s="19"/>
    </row>
    <row r="48" spans="1:14" ht="95.25" customHeight="1">
      <c r="A48" s="114"/>
      <c r="B48" s="16" t="s">
        <v>296</v>
      </c>
      <c r="C48" s="9"/>
      <c r="D48" s="26">
        <v>321</v>
      </c>
      <c r="E48" s="180">
        <v>150</v>
      </c>
      <c r="F48" s="26"/>
      <c r="G48" s="19"/>
      <c r="H48" s="19"/>
    </row>
    <row r="49" spans="1:13" ht="39.75" customHeight="1">
      <c r="A49" s="114"/>
      <c r="B49" s="16" t="s">
        <v>306</v>
      </c>
      <c r="C49" s="9"/>
      <c r="D49" s="26">
        <v>49.1</v>
      </c>
      <c r="E49" s="26"/>
      <c r="F49" s="26">
        <v>6.9</v>
      </c>
      <c r="G49" s="19"/>
      <c r="H49" s="19"/>
    </row>
    <row r="50" spans="1:13" ht="21.75" customHeight="1">
      <c r="A50" s="109" t="s">
        <v>74</v>
      </c>
      <c r="B50" s="127" t="s">
        <v>77</v>
      </c>
      <c r="C50" s="110">
        <v>1020</v>
      </c>
      <c r="D50" s="111">
        <f>SUM(D51,D55,D56,D57)</f>
        <v>7617.3</v>
      </c>
      <c r="E50" s="111">
        <f>SUM(E51,E55,E56,E57)</f>
        <v>8972</v>
      </c>
      <c r="F50" s="111">
        <f>SUM(F51,F55,F56,F57)</f>
        <v>8376.2000000000007</v>
      </c>
      <c r="G50" s="112">
        <f t="shared" si="6"/>
        <v>-595.79999999999927</v>
      </c>
      <c r="H50" s="112">
        <f t="shared" si="7"/>
        <v>93.359340169415972</v>
      </c>
    </row>
    <row r="51" spans="1:13" s="99" customFormat="1" ht="20.25" customHeight="1">
      <c r="A51" s="113" t="s">
        <v>162</v>
      </c>
      <c r="B51" s="107" t="s">
        <v>89</v>
      </c>
      <c r="C51" s="121">
        <v>1021</v>
      </c>
      <c r="D51" s="119">
        <f>SUM(D52:D53)</f>
        <v>85</v>
      </c>
      <c r="E51" s="119">
        <f>SUM(E52:E54)</f>
        <v>107</v>
      </c>
      <c r="F51" s="119">
        <f>SUM(F52:F53)</f>
        <v>42.1</v>
      </c>
      <c r="G51" s="122">
        <f t="shared" si="6"/>
        <v>-64.900000000000006</v>
      </c>
      <c r="H51" s="122">
        <f t="shared" si="7"/>
        <v>39.345794392523366</v>
      </c>
      <c r="J51" s="103"/>
      <c r="K51" s="104"/>
      <c r="L51" s="104"/>
      <c r="M51" s="104"/>
    </row>
    <row r="52" spans="1:13" ht="20.25" customHeight="1">
      <c r="A52" s="96"/>
      <c r="B52" s="31" t="s">
        <v>139</v>
      </c>
      <c r="C52" s="9"/>
      <c r="D52" s="26">
        <v>85</v>
      </c>
      <c r="E52" s="243">
        <v>90</v>
      </c>
      <c r="F52" s="26">
        <v>42.1</v>
      </c>
      <c r="G52" s="19">
        <f t="shared" si="6"/>
        <v>-47.9</v>
      </c>
      <c r="H52" s="19">
        <f t="shared" si="7"/>
        <v>46.777777777777779</v>
      </c>
    </row>
    <row r="53" spans="1:13" ht="22.5" customHeight="1">
      <c r="A53" s="96"/>
      <c r="B53" s="31" t="s">
        <v>113</v>
      </c>
      <c r="C53" s="9"/>
      <c r="D53" s="26"/>
      <c r="E53" s="243">
        <v>7</v>
      </c>
      <c r="F53" s="26"/>
      <c r="G53" s="19">
        <f t="shared" si="6"/>
        <v>-7</v>
      </c>
      <c r="H53" s="146" t="e">
        <f t="shared" ref="H53" si="21">G53/F53*100</f>
        <v>#DIV/0!</v>
      </c>
    </row>
    <row r="54" spans="1:13" ht="36" customHeight="1">
      <c r="A54" s="96"/>
      <c r="B54" s="16" t="s">
        <v>298</v>
      </c>
      <c r="C54" s="9"/>
      <c r="D54" s="26"/>
      <c r="E54" s="243">
        <v>10</v>
      </c>
      <c r="F54" s="26"/>
      <c r="G54" s="19"/>
      <c r="H54" s="146"/>
    </row>
    <row r="55" spans="1:13" s="99" customFormat="1" ht="18" customHeight="1">
      <c r="A55" s="113" t="s">
        <v>163</v>
      </c>
      <c r="B55" s="107" t="s">
        <v>1</v>
      </c>
      <c r="C55" s="121">
        <v>1022</v>
      </c>
      <c r="D55" s="119">
        <v>6121.9</v>
      </c>
      <c r="E55" s="246">
        <v>6850</v>
      </c>
      <c r="F55" s="119">
        <v>6690</v>
      </c>
      <c r="G55" s="122">
        <f t="shared" si="6"/>
        <v>-160</v>
      </c>
      <c r="H55" s="122">
        <f t="shared" si="7"/>
        <v>97.664233576642332</v>
      </c>
      <c r="J55" s="103"/>
      <c r="K55" s="104"/>
      <c r="L55" s="104"/>
      <c r="M55" s="104"/>
    </row>
    <row r="56" spans="1:13" s="99" customFormat="1" ht="21.75" customHeight="1">
      <c r="A56" s="113" t="s">
        <v>164</v>
      </c>
      <c r="B56" s="107" t="s">
        <v>2</v>
      </c>
      <c r="C56" s="121">
        <v>1023</v>
      </c>
      <c r="D56" s="119">
        <v>1187.3</v>
      </c>
      <c r="E56" s="246">
        <v>1365</v>
      </c>
      <c r="F56" s="119">
        <v>1302.5</v>
      </c>
      <c r="G56" s="122">
        <f t="shared" si="6"/>
        <v>-62.5</v>
      </c>
      <c r="H56" s="122">
        <f t="shared" si="7"/>
        <v>95.42124542124543</v>
      </c>
      <c r="J56" s="103"/>
      <c r="K56" s="104"/>
      <c r="L56" s="104"/>
      <c r="M56" s="104"/>
    </row>
    <row r="57" spans="1:13" s="99" customFormat="1" ht="17.25" customHeight="1">
      <c r="A57" s="113" t="s">
        <v>235</v>
      </c>
      <c r="B57" s="128" t="s">
        <v>150</v>
      </c>
      <c r="C57" s="121">
        <v>1025</v>
      </c>
      <c r="D57" s="181">
        <f>SUM(D58:D63)</f>
        <v>223.10000000000002</v>
      </c>
      <c r="E57" s="181">
        <f>SUM(E58:E64)</f>
        <v>650</v>
      </c>
      <c r="F57" s="181">
        <f>SUM(F58:F63)</f>
        <v>341.59999999999997</v>
      </c>
      <c r="G57" s="122">
        <f t="shared" si="6"/>
        <v>-308.40000000000003</v>
      </c>
      <c r="H57" s="122">
        <f t="shared" si="7"/>
        <v>52.553846153846152</v>
      </c>
      <c r="J57" s="103"/>
      <c r="K57" s="104"/>
      <c r="L57" s="104"/>
      <c r="M57" s="104"/>
    </row>
    <row r="58" spans="1:13" ht="17.25" customHeight="1">
      <c r="A58" s="96"/>
      <c r="B58" s="31" t="s">
        <v>239</v>
      </c>
      <c r="C58" s="13"/>
      <c r="D58" s="26">
        <v>3</v>
      </c>
      <c r="E58" s="247"/>
      <c r="F58" s="26"/>
      <c r="G58" s="19">
        <f t="shared" si="6"/>
        <v>0</v>
      </c>
      <c r="H58" s="19"/>
    </row>
    <row r="59" spans="1:13" ht="18" customHeight="1">
      <c r="A59" s="96"/>
      <c r="B59" s="28" t="s">
        <v>115</v>
      </c>
      <c r="C59" s="9"/>
      <c r="D59" s="180">
        <v>55.6</v>
      </c>
      <c r="E59" s="180">
        <v>60</v>
      </c>
      <c r="F59" s="180">
        <v>43.5</v>
      </c>
      <c r="G59" s="19">
        <f t="shared" si="6"/>
        <v>-16.5</v>
      </c>
      <c r="H59" s="19">
        <f t="shared" si="7"/>
        <v>72.5</v>
      </c>
    </row>
    <row r="60" spans="1:13" ht="18" customHeight="1">
      <c r="A60" s="96"/>
      <c r="B60" s="31" t="s">
        <v>171</v>
      </c>
      <c r="C60" s="9"/>
      <c r="D60" s="180">
        <v>112.8</v>
      </c>
      <c r="E60" s="180">
        <v>140</v>
      </c>
      <c r="F60" s="180">
        <f>2.9+20.3+12+1.2+1.6+3.6+1.9+3.1+1.3+21.2+20.3</f>
        <v>89.4</v>
      </c>
      <c r="G60" s="19">
        <f t="shared" si="6"/>
        <v>-50.599999999999994</v>
      </c>
      <c r="H60" s="19">
        <f t="shared" si="7"/>
        <v>63.857142857142854</v>
      </c>
    </row>
    <row r="61" spans="1:13" ht="36.75" customHeight="1">
      <c r="A61" s="96"/>
      <c r="B61" s="182" t="s">
        <v>297</v>
      </c>
      <c r="C61" s="9"/>
      <c r="D61" s="180"/>
      <c r="E61" s="180">
        <v>80</v>
      </c>
      <c r="F61" s="180">
        <f>1.1+15.6+19.8+46.8</f>
        <v>83.3</v>
      </c>
      <c r="G61" s="19"/>
      <c r="H61" s="19"/>
    </row>
    <row r="62" spans="1:13" ht="18" customHeight="1">
      <c r="A62" s="96"/>
      <c r="B62" s="31" t="s">
        <v>147</v>
      </c>
      <c r="C62" s="9"/>
      <c r="D62" s="180">
        <v>33.700000000000003</v>
      </c>
      <c r="E62" s="180">
        <v>50</v>
      </c>
      <c r="F62" s="180">
        <v>79.7</v>
      </c>
      <c r="G62" s="19">
        <f t="shared" ref="G62:G65" si="22">F62-E62</f>
        <v>29.700000000000003</v>
      </c>
      <c r="H62" s="19">
        <f t="shared" si="7"/>
        <v>159.4</v>
      </c>
    </row>
    <row r="63" spans="1:13" ht="18" customHeight="1">
      <c r="A63" s="96"/>
      <c r="B63" s="16" t="s">
        <v>148</v>
      </c>
      <c r="C63" s="9"/>
      <c r="D63" s="26">
        <v>18</v>
      </c>
      <c r="E63" s="180">
        <v>70</v>
      </c>
      <c r="F63" s="26">
        <f>15+12+18.7</f>
        <v>45.7</v>
      </c>
      <c r="G63" s="19">
        <f t="shared" si="22"/>
        <v>-24.299999999999997</v>
      </c>
      <c r="H63" s="19">
        <f t="shared" si="7"/>
        <v>65.285714285714292</v>
      </c>
    </row>
    <row r="64" spans="1:13" ht="36.75" customHeight="1">
      <c r="A64" s="96"/>
      <c r="B64" s="28" t="s">
        <v>368</v>
      </c>
      <c r="C64" s="9"/>
      <c r="D64" s="26"/>
      <c r="E64" s="180">
        <v>250</v>
      </c>
      <c r="F64" s="26"/>
      <c r="G64" s="19"/>
      <c r="H64" s="19"/>
    </row>
    <row r="65" spans="1:13" ht="21" customHeight="1">
      <c r="A65" s="109" t="s">
        <v>165</v>
      </c>
      <c r="B65" s="129" t="s">
        <v>10</v>
      </c>
      <c r="C65" s="110">
        <v>1030</v>
      </c>
      <c r="D65" s="111">
        <f>SUM(D66,D67,D68)</f>
        <v>3216.8</v>
      </c>
      <c r="E65" s="111">
        <f>SUM(E66,E67,E68)</f>
        <v>4290</v>
      </c>
      <c r="F65" s="111">
        <f>SUM(F66,F67,F68)</f>
        <v>4025.2</v>
      </c>
      <c r="G65" s="112">
        <f t="shared" si="22"/>
        <v>-264.80000000000018</v>
      </c>
      <c r="H65" s="112">
        <f t="shared" ref="H65" si="23">(F65/E65)*100</f>
        <v>93.827505827505817</v>
      </c>
    </row>
    <row r="66" spans="1:13" s="99" customFormat="1" ht="23.25" customHeight="1">
      <c r="A66" s="113" t="s">
        <v>236</v>
      </c>
      <c r="B66" s="128" t="s">
        <v>1</v>
      </c>
      <c r="C66" s="121">
        <v>1032</v>
      </c>
      <c r="D66" s="119">
        <v>2405.1</v>
      </c>
      <c r="E66" s="248">
        <v>3300</v>
      </c>
      <c r="F66" s="119">
        <v>3254.6</v>
      </c>
      <c r="G66" s="122">
        <f t="shared" ref="G66" si="24">F66-E66</f>
        <v>-45.400000000000091</v>
      </c>
      <c r="H66" s="122">
        <f t="shared" ref="H66" si="25">(F66/E66)*100</f>
        <v>98.624242424242425</v>
      </c>
      <c r="J66" s="103"/>
      <c r="K66" s="104"/>
      <c r="L66" s="104"/>
      <c r="M66" s="104"/>
    </row>
    <row r="67" spans="1:13" s="99" customFormat="1" ht="22.5" customHeight="1">
      <c r="A67" s="113" t="s">
        <v>200</v>
      </c>
      <c r="B67" s="128" t="s">
        <v>202</v>
      </c>
      <c r="C67" s="130">
        <v>1033</v>
      </c>
      <c r="D67" s="119">
        <v>475.4</v>
      </c>
      <c r="E67" s="249">
        <v>660</v>
      </c>
      <c r="F67" s="119">
        <v>637.4</v>
      </c>
      <c r="G67" s="122">
        <f t="shared" ref="G67:G69" si="26">F67-E67</f>
        <v>-22.600000000000023</v>
      </c>
      <c r="H67" s="122">
        <f t="shared" ref="H67:H69" si="27">(F67/E67)*100</f>
        <v>96.575757575757564</v>
      </c>
      <c r="J67" s="103"/>
      <c r="K67" s="104"/>
      <c r="L67" s="104"/>
      <c r="M67" s="104"/>
    </row>
    <row r="68" spans="1:13" s="99" customFormat="1" ht="21" customHeight="1">
      <c r="A68" s="113" t="s">
        <v>201</v>
      </c>
      <c r="B68" s="107" t="s">
        <v>196</v>
      </c>
      <c r="C68" s="121">
        <v>1035</v>
      </c>
      <c r="D68" s="119">
        <f>D69+D70</f>
        <v>336.3</v>
      </c>
      <c r="E68" s="119">
        <f t="shared" ref="E68" si="28">E69+E70</f>
        <v>330</v>
      </c>
      <c r="F68" s="119">
        <f>F69+F70</f>
        <v>133.19999999999999</v>
      </c>
      <c r="G68" s="122">
        <f t="shared" si="26"/>
        <v>-196.8</v>
      </c>
      <c r="H68" s="122">
        <f t="shared" si="27"/>
        <v>40.36363636363636</v>
      </c>
      <c r="J68" s="103"/>
      <c r="K68" s="104"/>
      <c r="L68" s="104"/>
      <c r="M68" s="104"/>
    </row>
    <row r="69" spans="1:13" ht="23.25" customHeight="1">
      <c r="A69" s="96"/>
      <c r="B69" s="31" t="s">
        <v>130</v>
      </c>
      <c r="C69" s="9"/>
      <c r="D69" s="26">
        <v>84.3</v>
      </c>
      <c r="E69" s="180">
        <v>90</v>
      </c>
      <c r="F69" s="26">
        <v>133.19999999999999</v>
      </c>
      <c r="G69" s="19">
        <f t="shared" si="26"/>
        <v>43.199999999999989</v>
      </c>
      <c r="H69" s="19">
        <f t="shared" si="27"/>
        <v>148</v>
      </c>
    </row>
    <row r="70" spans="1:13" ht="24.75" customHeight="1">
      <c r="A70" s="96"/>
      <c r="B70" s="28" t="s">
        <v>134</v>
      </c>
      <c r="C70" s="9"/>
      <c r="D70" s="26">
        <v>252</v>
      </c>
      <c r="E70" s="180">
        <v>240</v>
      </c>
      <c r="F70" s="26"/>
      <c r="G70" s="19">
        <f t="shared" ref="G70:G75" si="29">F70-E70</f>
        <v>-240</v>
      </c>
      <c r="H70" s="19">
        <f t="shared" ref="H70:H75" si="30">(F70/E70)*100</f>
        <v>0</v>
      </c>
    </row>
    <row r="71" spans="1:13" ht="101.25" customHeight="1">
      <c r="A71" s="183" t="s">
        <v>78</v>
      </c>
      <c r="B71" s="171" t="s">
        <v>267</v>
      </c>
      <c r="C71" s="9"/>
      <c r="D71" s="27">
        <f>D73</f>
        <v>727.1</v>
      </c>
      <c r="E71" s="184">
        <f>E73</f>
        <v>585.6</v>
      </c>
      <c r="F71" s="184">
        <f>F73</f>
        <v>650.9</v>
      </c>
      <c r="G71" s="19">
        <f t="shared" si="29"/>
        <v>65.299999999999955</v>
      </c>
      <c r="H71" s="19">
        <f t="shared" si="30"/>
        <v>111.150956284153</v>
      </c>
    </row>
    <row r="72" spans="1:13" ht="21" customHeight="1">
      <c r="A72" s="142"/>
      <c r="B72" s="107" t="s">
        <v>72</v>
      </c>
      <c r="C72" s="9"/>
      <c r="D72" s="26"/>
      <c r="E72" s="180"/>
      <c r="F72" s="26"/>
      <c r="G72" s="19"/>
      <c r="H72" s="19"/>
    </row>
    <row r="73" spans="1:13" ht="39" customHeight="1">
      <c r="A73" s="143" t="s">
        <v>156</v>
      </c>
      <c r="B73" s="20" t="s">
        <v>76</v>
      </c>
      <c r="C73" s="110">
        <v>1010</v>
      </c>
      <c r="D73" s="144">
        <f t="shared" ref="D73" si="31">D74+D75</f>
        <v>727.1</v>
      </c>
      <c r="E73" s="144">
        <f t="shared" ref="E73:F73" si="32">E74+E75</f>
        <v>585.6</v>
      </c>
      <c r="F73" s="144">
        <f t="shared" si="32"/>
        <v>650.9</v>
      </c>
      <c r="G73" s="112">
        <f t="shared" si="29"/>
        <v>65.299999999999955</v>
      </c>
      <c r="H73" s="161">
        <f t="shared" si="30"/>
        <v>111.150956284153</v>
      </c>
    </row>
    <row r="74" spans="1:13" ht="24.75" customHeight="1">
      <c r="A74" s="145" t="s">
        <v>206</v>
      </c>
      <c r="B74" s="107" t="s">
        <v>1</v>
      </c>
      <c r="C74" s="121">
        <v>1012</v>
      </c>
      <c r="D74" s="119">
        <v>596</v>
      </c>
      <c r="E74" s="245">
        <v>480</v>
      </c>
      <c r="F74" s="119">
        <v>533.5</v>
      </c>
      <c r="G74" s="122">
        <f t="shared" si="29"/>
        <v>53.5</v>
      </c>
      <c r="H74" s="148">
        <f t="shared" si="30"/>
        <v>111.14583333333334</v>
      </c>
    </row>
    <row r="75" spans="1:13" ht="22.5" customHeight="1">
      <c r="A75" s="145" t="s">
        <v>166</v>
      </c>
      <c r="B75" s="107" t="s">
        <v>2</v>
      </c>
      <c r="C75" s="121">
        <v>1013</v>
      </c>
      <c r="D75" s="119">
        <v>131.1</v>
      </c>
      <c r="E75" s="245">
        <v>105.6</v>
      </c>
      <c r="F75" s="119">
        <v>117.4</v>
      </c>
      <c r="G75" s="122">
        <f t="shared" si="29"/>
        <v>11.800000000000011</v>
      </c>
      <c r="H75" s="148">
        <f t="shared" si="30"/>
        <v>111.17424242424244</v>
      </c>
    </row>
    <row r="76" spans="1:13" ht="64.5" customHeight="1">
      <c r="A76" s="96" t="s">
        <v>228</v>
      </c>
      <c r="B76" s="173" t="s">
        <v>185</v>
      </c>
      <c r="C76" s="9"/>
      <c r="D76" s="27">
        <f t="shared" ref="D76" si="33">SUM(D78)</f>
        <v>132.80000000000001</v>
      </c>
      <c r="E76" s="27">
        <f t="shared" ref="E76:F76" si="34">SUM(E78)</f>
        <v>55.9</v>
      </c>
      <c r="F76" s="27">
        <f t="shared" si="34"/>
        <v>115.2</v>
      </c>
      <c r="G76" s="63">
        <f t="shared" ref="G76:G83" si="35">F76-E76</f>
        <v>59.300000000000004</v>
      </c>
      <c r="H76" s="63">
        <f t="shared" ref="H76:H83" si="36">(F76/E76)*100</f>
        <v>206.08228980322005</v>
      </c>
    </row>
    <row r="77" spans="1:13" ht="24" customHeight="1">
      <c r="A77" s="96"/>
      <c r="B77" s="107" t="s">
        <v>72</v>
      </c>
      <c r="C77" s="9"/>
      <c r="D77" s="27"/>
      <c r="E77" s="27"/>
      <c r="F77" s="27"/>
      <c r="G77" s="63"/>
      <c r="H77" s="63"/>
    </row>
    <row r="78" spans="1:13" ht="40.5" customHeight="1">
      <c r="A78" s="109" t="s">
        <v>229</v>
      </c>
      <c r="B78" s="20" t="s">
        <v>76</v>
      </c>
      <c r="C78" s="110">
        <v>1010</v>
      </c>
      <c r="D78" s="111">
        <f>SUM(D79,D84,D85)</f>
        <v>132.80000000000001</v>
      </c>
      <c r="E78" s="111">
        <f>SUM(E79,E84,E85)</f>
        <v>55.9</v>
      </c>
      <c r="F78" s="111">
        <f>SUM(F79,F84,F85)</f>
        <v>115.2</v>
      </c>
      <c r="G78" s="112">
        <f t="shared" si="35"/>
        <v>59.300000000000004</v>
      </c>
      <c r="H78" s="112">
        <f t="shared" si="36"/>
        <v>206.08228980322005</v>
      </c>
    </row>
    <row r="79" spans="1:13" s="99" customFormat="1" ht="22.5" customHeight="1">
      <c r="A79" s="113" t="s">
        <v>230</v>
      </c>
      <c r="B79" s="107" t="s">
        <v>203</v>
      </c>
      <c r="C79" s="121">
        <v>1011</v>
      </c>
      <c r="D79" s="119">
        <f>D80+D81+D82+D83</f>
        <v>1</v>
      </c>
      <c r="E79" s="119"/>
      <c r="F79" s="119">
        <f>F80+F81+F82+F83</f>
        <v>10.899999999999999</v>
      </c>
      <c r="G79" s="122">
        <f t="shared" si="35"/>
        <v>10.899999999999999</v>
      </c>
      <c r="H79" s="147" t="e">
        <f t="shared" si="36"/>
        <v>#DIV/0!</v>
      </c>
      <c r="J79" s="103"/>
      <c r="K79" s="104"/>
      <c r="L79" s="104"/>
      <c r="M79" s="104"/>
    </row>
    <row r="80" spans="1:13" s="99" customFormat="1" ht="22.5" customHeight="1">
      <c r="A80" s="113"/>
      <c r="B80" s="16" t="s">
        <v>124</v>
      </c>
      <c r="C80" s="121"/>
      <c r="D80" s="26">
        <v>0.5</v>
      </c>
      <c r="E80" s="119"/>
      <c r="F80" s="119">
        <v>6</v>
      </c>
      <c r="G80" s="122"/>
      <c r="H80" s="147"/>
      <c r="J80" s="103"/>
      <c r="K80" s="104"/>
      <c r="L80" s="104"/>
      <c r="M80" s="104"/>
    </row>
    <row r="81" spans="1:13" s="99" customFormat="1" ht="22.5" customHeight="1">
      <c r="A81" s="113"/>
      <c r="B81" s="16" t="s">
        <v>125</v>
      </c>
      <c r="C81" s="121"/>
      <c r="D81" s="26">
        <v>0.1</v>
      </c>
      <c r="E81" s="119"/>
      <c r="F81" s="119">
        <v>0.4</v>
      </c>
      <c r="G81" s="122"/>
      <c r="H81" s="147"/>
      <c r="J81" s="103"/>
      <c r="K81" s="104"/>
      <c r="L81" s="104"/>
      <c r="M81" s="104"/>
    </row>
    <row r="82" spans="1:13" s="99" customFormat="1" ht="22.5" customHeight="1">
      <c r="A82" s="113"/>
      <c r="B82" s="16" t="s">
        <v>126</v>
      </c>
      <c r="C82" s="121"/>
      <c r="D82" s="26">
        <v>0.4</v>
      </c>
      <c r="E82" s="119"/>
      <c r="F82" s="119">
        <v>4.3</v>
      </c>
      <c r="G82" s="122"/>
      <c r="H82" s="147"/>
      <c r="J82" s="103"/>
      <c r="K82" s="104"/>
      <c r="L82" s="104"/>
      <c r="M82" s="104"/>
    </row>
    <row r="83" spans="1:13" ht="21" customHeight="1">
      <c r="A83" s="114"/>
      <c r="B83" s="16" t="s">
        <v>127</v>
      </c>
      <c r="C83" s="9"/>
      <c r="D83" s="26"/>
      <c r="E83" s="26"/>
      <c r="F83" s="26">
        <v>0.2</v>
      </c>
      <c r="G83" s="19">
        <f t="shared" si="35"/>
        <v>0.2</v>
      </c>
      <c r="H83" s="146" t="e">
        <f t="shared" si="36"/>
        <v>#DIV/0!</v>
      </c>
    </row>
    <row r="84" spans="1:13" ht="24.75" customHeight="1">
      <c r="A84" s="113" t="s">
        <v>272</v>
      </c>
      <c r="B84" s="128" t="s">
        <v>1</v>
      </c>
      <c r="C84" s="121">
        <v>1012</v>
      </c>
      <c r="D84" s="119">
        <v>108</v>
      </c>
      <c r="E84" s="245">
        <v>45.8</v>
      </c>
      <c r="F84" s="119">
        <v>85.5</v>
      </c>
      <c r="G84" s="122">
        <f>F84-E84</f>
        <v>39.700000000000003</v>
      </c>
      <c r="H84" s="122">
        <f>(F84/E84)*100</f>
        <v>186.68122270742359</v>
      </c>
    </row>
    <row r="85" spans="1:13" ht="24.75" customHeight="1">
      <c r="A85" s="113" t="s">
        <v>273</v>
      </c>
      <c r="B85" s="128" t="s">
        <v>2</v>
      </c>
      <c r="C85" s="121">
        <v>1013</v>
      </c>
      <c r="D85" s="119">
        <v>23.8</v>
      </c>
      <c r="E85" s="245">
        <v>10.1</v>
      </c>
      <c r="F85" s="119">
        <v>18.8</v>
      </c>
      <c r="G85" s="122">
        <f>F85-E85</f>
        <v>8.7000000000000011</v>
      </c>
      <c r="H85" s="122">
        <f>(F85/E85)*100</f>
        <v>186.13861386138615</v>
      </c>
    </row>
    <row r="86" spans="1:13" ht="60.75" customHeight="1">
      <c r="A86" s="96" t="s">
        <v>86</v>
      </c>
      <c r="B86" s="171" t="s">
        <v>174</v>
      </c>
      <c r="C86" s="13"/>
      <c r="D86" s="27">
        <f>D88</f>
        <v>0</v>
      </c>
      <c r="E86" s="49">
        <f>E88</f>
        <v>0</v>
      </c>
      <c r="F86" s="49">
        <f>F88</f>
        <v>0</v>
      </c>
      <c r="G86" s="63">
        <f t="shared" ref="G86" si="37">F86-E86</f>
        <v>0</v>
      </c>
      <c r="H86" s="19"/>
    </row>
    <row r="87" spans="1:13" ht="25.5" customHeight="1">
      <c r="A87" s="96"/>
      <c r="B87" s="107" t="s">
        <v>72</v>
      </c>
      <c r="C87" s="13"/>
      <c r="D87" s="27"/>
      <c r="E87" s="49"/>
      <c r="F87" s="49"/>
      <c r="G87" s="63"/>
      <c r="H87" s="19"/>
    </row>
    <row r="88" spans="1:13" ht="39.75" customHeight="1">
      <c r="A88" s="109" t="s">
        <v>167</v>
      </c>
      <c r="B88" s="127" t="s">
        <v>151</v>
      </c>
      <c r="C88" s="110">
        <v>1010</v>
      </c>
      <c r="D88" s="111">
        <f t="shared" ref="D88:F88" si="38">D89</f>
        <v>0</v>
      </c>
      <c r="E88" s="131">
        <f t="shared" si="38"/>
        <v>0</v>
      </c>
      <c r="F88" s="131">
        <f t="shared" si="38"/>
        <v>0</v>
      </c>
      <c r="G88" s="112">
        <f>F88-E88</f>
        <v>0</v>
      </c>
      <c r="H88" s="150" t="e">
        <f>(F88/E88)*100</f>
        <v>#DIV/0!</v>
      </c>
    </row>
    <row r="89" spans="1:13" s="99" customFormat="1" ht="23.25" customHeight="1">
      <c r="A89" s="113" t="s">
        <v>168</v>
      </c>
      <c r="B89" s="107" t="s">
        <v>89</v>
      </c>
      <c r="C89" s="121">
        <v>1011</v>
      </c>
      <c r="D89" s="119">
        <f>D90+D91</f>
        <v>0</v>
      </c>
      <c r="E89" s="132">
        <f>SUM(E91:E91)</f>
        <v>0</v>
      </c>
      <c r="F89" s="132">
        <f>SUM(F91:F91)</f>
        <v>0</v>
      </c>
      <c r="G89" s="122">
        <f t="shared" ref="G89:G91" si="39">F89-E89</f>
        <v>0</v>
      </c>
      <c r="H89" s="147" t="e">
        <f t="shared" ref="H89:H91" si="40">(F89/E89)*100</f>
        <v>#DIV/0!</v>
      </c>
      <c r="J89" s="103"/>
      <c r="K89" s="104"/>
      <c r="L89" s="104"/>
      <c r="M89" s="104"/>
    </row>
    <row r="90" spans="1:13" s="99" customFormat="1" ht="36" customHeight="1">
      <c r="A90" s="96"/>
      <c r="B90" s="16" t="s">
        <v>234</v>
      </c>
      <c r="C90" s="13"/>
      <c r="D90" s="26"/>
      <c r="E90" s="49"/>
      <c r="F90" s="26"/>
      <c r="G90" s="63">
        <f t="shared" si="39"/>
        <v>0</v>
      </c>
      <c r="H90" s="146" t="e">
        <f t="shared" si="40"/>
        <v>#DIV/0!</v>
      </c>
      <c r="J90" s="103"/>
      <c r="K90" s="104"/>
      <c r="L90" s="104"/>
      <c r="M90" s="104"/>
    </row>
    <row r="91" spans="1:13" ht="24" customHeight="1">
      <c r="A91" s="114"/>
      <c r="B91" s="28" t="s">
        <v>110</v>
      </c>
      <c r="C91" s="9"/>
      <c r="D91" s="26"/>
      <c r="E91" s="132"/>
      <c r="F91" s="26"/>
      <c r="G91" s="19">
        <f t="shared" si="39"/>
        <v>0</v>
      </c>
      <c r="H91" s="146" t="e">
        <f t="shared" si="40"/>
        <v>#DIV/0!</v>
      </c>
    </row>
    <row r="92" spans="1:13" ht="45.75" customHeight="1">
      <c r="A92" s="13" t="s">
        <v>87</v>
      </c>
      <c r="B92" s="225" t="s">
        <v>270</v>
      </c>
      <c r="C92" s="13"/>
      <c r="D92" s="27">
        <f>SUM(D94,D105)</f>
        <v>7783.8</v>
      </c>
      <c r="E92" s="27">
        <f>SUM(E94,E105)</f>
        <v>9011.1999999999989</v>
      </c>
      <c r="F92" s="27">
        <f>SUM(F94,F105)</f>
        <v>10061.900000000001</v>
      </c>
      <c r="G92" s="63">
        <f t="shared" ref="G92:G122" si="41">F92-E92</f>
        <v>1050.7000000000025</v>
      </c>
      <c r="H92" s="63">
        <f t="shared" ref="H92:H117" si="42">(F92/E92)*100</f>
        <v>111.65993430397729</v>
      </c>
      <c r="K92" s="152"/>
    </row>
    <row r="93" spans="1:13" ht="26.25" customHeight="1">
      <c r="A93" s="9"/>
      <c r="B93" s="133" t="s">
        <v>72</v>
      </c>
      <c r="C93" s="9"/>
      <c r="D93" s="26"/>
      <c r="E93" s="26"/>
      <c r="F93" s="26"/>
      <c r="G93" s="19">
        <f t="shared" si="41"/>
        <v>0</v>
      </c>
      <c r="H93" s="19"/>
    </row>
    <row r="94" spans="1:13" ht="39" customHeight="1">
      <c r="A94" s="109" t="s">
        <v>90</v>
      </c>
      <c r="B94" s="20" t="s">
        <v>76</v>
      </c>
      <c r="C94" s="110">
        <v>1010</v>
      </c>
      <c r="D94" s="111">
        <f>SUM(D95,)</f>
        <v>7715</v>
      </c>
      <c r="E94" s="111">
        <f t="shared" ref="E94" si="43">SUM(E95,)</f>
        <v>8902.6999999999989</v>
      </c>
      <c r="F94" s="111">
        <f>SUM(F95,F103)</f>
        <v>9943.7000000000007</v>
      </c>
      <c r="G94" s="112">
        <f t="shared" si="41"/>
        <v>1041.0000000000018</v>
      </c>
      <c r="H94" s="112">
        <f t="shared" si="42"/>
        <v>111.69308187403824</v>
      </c>
    </row>
    <row r="95" spans="1:13" s="99" customFormat="1" ht="25.5" customHeight="1">
      <c r="A95" s="113" t="s">
        <v>175</v>
      </c>
      <c r="B95" s="107" t="s">
        <v>89</v>
      </c>
      <c r="C95" s="121">
        <v>1011</v>
      </c>
      <c r="D95" s="119">
        <f>SUM(D96:D102)</f>
        <v>7715</v>
      </c>
      <c r="E95" s="119">
        <f>SUM(E96:E102)</f>
        <v>8902.6999999999989</v>
      </c>
      <c r="F95" s="119">
        <f>SUM(F96:F102)</f>
        <v>9748.5</v>
      </c>
      <c r="G95" s="122">
        <f t="shared" si="41"/>
        <v>845.80000000000109</v>
      </c>
      <c r="H95" s="122">
        <f t="shared" si="42"/>
        <v>109.50048861581318</v>
      </c>
      <c r="J95" s="103"/>
      <c r="K95" s="104"/>
      <c r="L95" s="104"/>
      <c r="M95" s="104"/>
    </row>
    <row r="96" spans="1:13" ht="23.25" customHeight="1">
      <c r="A96" s="114"/>
      <c r="B96" s="16" t="s">
        <v>110</v>
      </c>
      <c r="C96" s="9"/>
      <c r="D96" s="26">
        <f>577.6+1.7</f>
        <v>579.30000000000007</v>
      </c>
      <c r="E96" s="180">
        <v>390</v>
      </c>
      <c r="F96" s="26">
        <v>495.2</v>
      </c>
      <c r="G96" s="19">
        <f t="shared" si="41"/>
        <v>105.19999999999999</v>
      </c>
      <c r="H96" s="19">
        <f t="shared" si="42"/>
        <v>126.97435897435898</v>
      </c>
    </row>
    <row r="97" spans="1:13" ht="20.25" customHeight="1">
      <c r="A97" s="114"/>
      <c r="B97" s="16" t="s">
        <v>299</v>
      </c>
      <c r="C97" s="9"/>
      <c r="D97" s="26"/>
      <c r="E97" s="180">
        <v>250</v>
      </c>
      <c r="F97" s="26">
        <v>136.1</v>
      </c>
      <c r="G97" s="19"/>
      <c r="H97" s="19"/>
    </row>
    <row r="98" spans="1:13" ht="21" customHeight="1">
      <c r="A98" s="114"/>
      <c r="B98" s="28" t="s">
        <v>133</v>
      </c>
      <c r="C98" s="9"/>
      <c r="D98" s="26">
        <v>136.9</v>
      </c>
      <c r="E98" s="180">
        <v>146</v>
      </c>
      <c r="F98" s="26">
        <v>11.2</v>
      </c>
      <c r="G98" s="19">
        <f t="shared" si="41"/>
        <v>-134.80000000000001</v>
      </c>
      <c r="H98" s="19">
        <f t="shared" si="42"/>
        <v>7.6712328767123275</v>
      </c>
      <c r="I98" s="120"/>
    </row>
    <row r="99" spans="1:13" ht="20.25" customHeight="1">
      <c r="A99" s="114"/>
      <c r="B99" s="28" t="s">
        <v>124</v>
      </c>
      <c r="C99" s="9"/>
      <c r="D99" s="26">
        <v>3662.7</v>
      </c>
      <c r="E99" s="180">
        <v>3958.4</v>
      </c>
      <c r="F99" s="26">
        <v>4179.3999999999996</v>
      </c>
      <c r="G99" s="19">
        <f t="shared" si="41"/>
        <v>220.99999999999955</v>
      </c>
      <c r="H99" s="19">
        <f t="shared" si="42"/>
        <v>105.58306386418754</v>
      </c>
      <c r="I99" s="120"/>
    </row>
    <row r="100" spans="1:13" ht="20.25" customHeight="1">
      <c r="A100" s="114"/>
      <c r="B100" s="28" t="s">
        <v>125</v>
      </c>
      <c r="C100" s="9"/>
      <c r="D100" s="26">
        <v>232.1</v>
      </c>
      <c r="E100" s="180">
        <v>233.4</v>
      </c>
      <c r="F100" s="26">
        <v>219.4</v>
      </c>
      <c r="G100" s="19">
        <f t="shared" si="41"/>
        <v>-14</v>
      </c>
      <c r="H100" s="19">
        <f t="shared" si="42"/>
        <v>94.001713796058269</v>
      </c>
      <c r="I100" s="120"/>
    </row>
    <row r="101" spans="1:13" ht="20.25" customHeight="1">
      <c r="A101" s="114"/>
      <c r="B101" s="28" t="s">
        <v>126</v>
      </c>
      <c r="C101" s="9"/>
      <c r="D101" s="26">
        <v>2953.6</v>
      </c>
      <c r="E101" s="180">
        <v>3765.9</v>
      </c>
      <c r="F101" s="26">
        <v>4567.6000000000004</v>
      </c>
      <c r="G101" s="19">
        <f t="shared" si="41"/>
        <v>801.70000000000027</v>
      </c>
      <c r="H101" s="19">
        <f t="shared" si="42"/>
        <v>121.28840383440877</v>
      </c>
      <c r="I101" s="120"/>
    </row>
    <row r="102" spans="1:13" ht="22.5" customHeight="1">
      <c r="A102" s="114"/>
      <c r="B102" s="28" t="s">
        <v>127</v>
      </c>
      <c r="C102" s="9"/>
      <c r="D102" s="26">
        <v>150.4</v>
      </c>
      <c r="E102" s="180">
        <v>159</v>
      </c>
      <c r="F102" s="26">
        <v>139.6</v>
      </c>
      <c r="G102" s="19">
        <f t="shared" si="41"/>
        <v>-19.400000000000006</v>
      </c>
      <c r="H102" s="19">
        <f t="shared" si="42"/>
        <v>87.798742138364773</v>
      </c>
      <c r="I102" s="120"/>
    </row>
    <row r="103" spans="1:13" s="99" customFormat="1" ht="22.5" customHeight="1">
      <c r="A103" s="113" t="s">
        <v>369</v>
      </c>
      <c r="B103" s="20" t="s">
        <v>79</v>
      </c>
      <c r="C103" s="110">
        <v>1015</v>
      </c>
      <c r="D103" s="27"/>
      <c r="E103" s="184"/>
      <c r="F103" s="111">
        <f>F104</f>
        <v>195.2</v>
      </c>
      <c r="G103" s="112">
        <f t="shared" si="41"/>
        <v>195.2</v>
      </c>
      <c r="H103" s="19"/>
      <c r="I103" s="105"/>
      <c r="J103" s="103"/>
      <c r="K103" s="104"/>
      <c r="L103" s="104"/>
      <c r="M103" s="104"/>
    </row>
    <row r="104" spans="1:13" ht="22.5" customHeight="1">
      <c r="A104" s="114"/>
      <c r="B104" s="31" t="s">
        <v>250</v>
      </c>
      <c r="C104" s="9"/>
      <c r="D104" s="26"/>
      <c r="E104" s="180"/>
      <c r="F104" s="26">
        <v>195.2</v>
      </c>
      <c r="G104" s="19">
        <f t="shared" si="41"/>
        <v>195.2</v>
      </c>
      <c r="H104" s="19"/>
      <c r="I104" s="120"/>
    </row>
    <row r="105" spans="1:13" ht="20.100000000000001" customHeight="1">
      <c r="A105" s="109" t="s">
        <v>244</v>
      </c>
      <c r="B105" s="127" t="s">
        <v>77</v>
      </c>
      <c r="C105" s="110">
        <v>1020</v>
      </c>
      <c r="D105" s="111">
        <f t="shared" ref="D105:F105" si="44">SUM(D106)</f>
        <v>68.8</v>
      </c>
      <c r="E105" s="111">
        <f t="shared" si="44"/>
        <v>108.5</v>
      </c>
      <c r="F105" s="111">
        <f t="shared" si="44"/>
        <v>118.20000000000002</v>
      </c>
      <c r="G105" s="112">
        <f t="shared" si="41"/>
        <v>9.7000000000000171</v>
      </c>
      <c r="H105" s="112">
        <f t="shared" si="42"/>
        <v>108.94009216589863</v>
      </c>
    </row>
    <row r="106" spans="1:13" s="99" customFormat="1" ht="21" customHeight="1">
      <c r="A106" s="113" t="s">
        <v>245</v>
      </c>
      <c r="B106" s="128" t="s">
        <v>150</v>
      </c>
      <c r="C106" s="121">
        <v>1025</v>
      </c>
      <c r="D106" s="134">
        <f t="shared" ref="D106:F106" si="45">SUM(D107:D110)</f>
        <v>68.8</v>
      </c>
      <c r="E106" s="134">
        <f>E107+E108+E109+E110</f>
        <v>108.5</v>
      </c>
      <c r="F106" s="134">
        <f t="shared" si="45"/>
        <v>118.20000000000002</v>
      </c>
      <c r="G106" s="122">
        <f t="shared" si="41"/>
        <v>9.7000000000000171</v>
      </c>
      <c r="H106" s="122">
        <f t="shared" si="42"/>
        <v>108.94009216589863</v>
      </c>
      <c r="J106" s="103"/>
      <c r="K106" s="104"/>
      <c r="L106" s="104"/>
      <c r="M106" s="104"/>
    </row>
    <row r="107" spans="1:13" ht="21" customHeight="1">
      <c r="A107" s="114"/>
      <c r="B107" s="28" t="s">
        <v>124</v>
      </c>
      <c r="C107" s="9"/>
      <c r="D107" s="26">
        <v>43.2</v>
      </c>
      <c r="E107" s="180">
        <v>77.900000000000006</v>
      </c>
      <c r="F107" s="26">
        <v>82.4</v>
      </c>
      <c r="G107" s="19">
        <f t="shared" si="41"/>
        <v>4.5</v>
      </c>
      <c r="H107" s="19">
        <f t="shared" si="42"/>
        <v>105.77663671373556</v>
      </c>
    </row>
    <row r="108" spans="1:13" ht="21" customHeight="1">
      <c r="A108" s="114"/>
      <c r="B108" s="28" t="s">
        <v>125</v>
      </c>
      <c r="C108" s="9"/>
      <c r="D108" s="26">
        <v>2.2999999999999998</v>
      </c>
      <c r="E108" s="180">
        <v>2.5</v>
      </c>
      <c r="F108" s="26">
        <v>2.4</v>
      </c>
      <c r="G108" s="19">
        <f t="shared" si="41"/>
        <v>-0.10000000000000009</v>
      </c>
      <c r="H108" s="19">
        <f t="shared" si="42"/>
        <v>96</v>
      </c>
    </row>
    <row r="109" spans="1:13" ht="20.25" customHeight="1">
      <c r="A109" s="114"/>
      <c r="B109" s="28" t="s">
        <v>126</v>
      </c>
      <c r="C109" s="9"/>
      <c r="D109" s="26">
        <v>21.5</v>
      </c>
      <c r="E109" s="180">
        <v>26.1</v>
      </c>
      <c r="F109" s="26">
        <v>31.7</v>
      </c>
      <c r="G109" s="19">
        <f t="shared" si="41"/>
        <v>5.5999999999999979</v>
      </c>
      <c r="H109" s="19">
        <f t="shared" si="42"/>
        <v>121.45593869731799</v>
      </c>
    </row>
    <row r="110" spans="1:13" ht="21" customHeight="1">
      <c r="A110" s="114"/>
      <c r="B110" s="28" t="s">
        <v>127</v>
      </c>
      <c r="C110" s="9"/>
      <c r="D110" s="26">
        <v>1.8</v>
      </c>
      <c r="E110" s="180">
        <v>2</v>
      </c>
      <c r="F110" s="26">
        <v>1.7</v>
      </c>
      <c r="G110" s="19">
        <f t="shared" si="41"/>
        <v>-0.30000000000000004</v>
      </c>
      <c r="H110" s="19">
        <f t="shared" si="42"/>
        <v>85</v>
      </c>
    </row>
    <row r="111" spans="1:13" ht="58.5" customHeight="1">
      <c r="A111" s="96" t="s">
        <v>107</v>
      </c>
      <c r="B111" s="171" t="s">
        <v>269</v>
      </c>
      <c r="C111" s="13"/>
      <c r="D111" s="27">
        <f>D113</f>
        <v>5549.3</v>
      </c>
      <c r="E111" s="184">
        <f t="shared" ref="E111:F111" si="46">E113</f>
        <v>0</v>
      </c>
      <c r="F111" s="27">
        <f t="shared" si="46"/>
        <v>250.1</v>
      </c>
      <c r="G111" s="63">
        <f t="shared" ref="G111:G114" si="47">F111-E111</f>
        <v>250.1</v>
      </c>
      <c r="H111" s="149" t="e">
        <f t="shared" ref="H111" si="48">(F111/E111)*100</f>
        <v>#DIV/0!</v>
      </c>
    </row>
    <row r="112" spans="1:13" ht="26.25" customHeight="1">
      <c r="A112" s="114"/>
      <c r="B112" s="128" t="s">
        <v>72</v>
      </c>
      <c r="C112" s="9"/>
      <c r="D112" s="26"/>
      <c r="E112" s="180"/>
      <c r="F112" s="26"/>
      <c r="G112" s="19">
        <f t="shared" si="47"/>
        <v>0</v>
      </c>
      <c r="H112" s="19"/>
    </row>
    <row r="113" spans="1:13" ht="45.75" customHeight="1">
      <c r="A113" s="109" t="s">
        <v>88</v>
      </c>
      <c r="B113" s="127" t="s">
        <v>76</v>
      </c>
      <c r="C113" s="110">
        <v>1010</v>
      </c>
      <c r="D113" s="111">
        <f>D114</f>
        <v>5549.3</v>
      </c>
      <c r="E113" s="144">
        <f t="shared" ref="E113:F113" si="49">E114</f>
        <v>0</v>
      </c>
      <c r="F113" s="111">
        <f t="shared" si="49"/>
        <v>250.1</v>
      </c>
      <c r="G113" s="112">
        <f t="shared" si="47"/>
        <v>250.1</v>
      </c>
      <c r="H113" s="150" t="e">
        <f t="shared" ref="H113:H114" si="50">(F113/E113)*100</f>
        <v>#DIV/0!</v>
      </c>
    </row>
    <row r="114" spans="1:13" ht="25.5" customHeight="1">
      <c r="A114" s="113" t="s">
        <v>176</v>
      </c>
      <c r="B114" s="128" t="s">
        <v>89</v>
      </c>
      <c r="C114" s="121">
        <v>1011</v>
      </c>
      <c r="D114" s="119">
        <f>SUM(D115:D116)</f>
        <v>5549.3</v>
      </c>
      <c r="E114" s="245">
        <f>SUM(E115:E116)</f>
        <v>0</v>
      </c>
      <c r="F114" s="119">
        <f>SUM(F115:F116)</f>
        <v>250.1</v>
      </c>
      <c r="G114" s="122">
        <f t="shared" si="47"/>
        <v>250.1</v>
      </c>
      <c r="H114" s="147" t="e">
        <f t="shared" si="50"/>
        <v>#DIV/0!</v>
      </c>
    </row>
    <row r="115" spans="1:13" ht="22.5" customHeight="1">
      <c r="A115" s="114"/>
      <c r="B115" s="28" t="s">
        <v>110</v>
      </c>
      <c r="C115" s="9"/>
      <c r="D115" s="26">
        <v>5359.6</v>
      </c>
      <c r="E115" s="180"/>
      <c r="F115" s="26">
        <v>151.19999999999999</v>
      </c>
      <c r="G115" s="19">
        <f t="shared" ref="G115:G116" si="51">F115-E115</f>
        <v>151.19999999999999</v>
      </c>
      <c r="H115" s="146" t="e">
        <f t="shared" ref="H115:H116" si="52">(F115/E115)*100</f>
        <v>#DIV/0!</v>
      </c>
    </row>
    <row r="116" spans="1:13" ht="23.25" customHeight="1">
      <c r="A116" s="114"/>
      <c r="B116" s="28" t="s">
        <v>227</v>
      </c>
      <c r="C116" s="9"/>
      <c r="D116" s="26">
        <v>189.7</v>
      </c>
      <c r="E116" s="180"/>
      <c r="F116" s="26">
        <v>98.9</v>
      </c>
      <c r="G116" s="19">
        <f t="shared" si="51"/>
        <v>98.9</v>
      </c>
      <c r="H116" s="146" t="e">
        <f t="shared" si="52"/>
        <v>#DIV/0!</v>
      </c>
    </row>
    <row r="117" spans="1:13" ht="35.25" customHeight="1">
      <c r="A117" s="96" t="s">
        <v>108</v>
      </c>
      <c r="B117" s="173" t="s">
        <v>169</v>
      </c>
      <c r="C117" s="13"/>
      <c r="D117" s="27">
        <f>SUM(D119,D125)</f>
        <v>135.10000000000002</v>
      </c>
      <c r="E117" s="27">
        <f>SUM(E119,E125)</f>
        <v>161.40000000000003</v>
      </c>
      <c r="F117" s="27">
        <f>SUM(F119,F125)</f>
        <v>167.4</v>
      </c>
      <c r="G117" s="63">
        <f t="shared" si="41"/>
        <v>5.9999999999999716</v>
      </c>
      <c r="H117" s="63">
        <f t="shared" si="42"/>
        <v>103.71747211895909</v>
      </c>
      <c r="K117" s="152"/>
    </row>
    <row r="118" spans="1:13" ht="27.75" customHeight="1">
      <c r="A118" s="114"/>
      <c r="B118" s="107" t="s">
        <v>72</v>
      </c>
      <c r="C118" s="13"/>
      <c r="D118" s="27"/>
      <c r="E118" s="27"/>
      <c r="F118" s="27"/>
      <c r="G118" s="19">
        <f t="shared" si="41"/>
        <v>0</v>
      </c>
      <c r="H118" s="19"/>
    </row>
    <row r="119" spans="1:13" ht="39.75" customHeight="1">
      <c r="A119" s="109" t="s">
        <v>177</v>
      </c>
      <c r="B119" s="20" t="s">
        <v>76</v>
      </c>
      <c r="C119" s="110">
        <v>1010</v>
      </c>
      <c r="D119" s="111">
        <f>D120</f>
        <v>134.80000000000001</v>
      </c>
      <c r="E119" s="111">
        <f>E120</f>
        <v>161.10000000000002</v>
      </c>
      <c r="F119" s="111">
        <f>F120</f>
        <v>167.1</v>
      </c>
      <c r="G119" s="112">
        <f t="shared" si="41"/>
        <v>5.9999999999999716</v>
      </c>
      <c r="H119" s="112">
        <f>F119/E119*100</f>
        <v>103.72439478584727</v>
      </c>
    </row>
    <row r="120" spans="1:13" s="99" customFormat="1" ht="22.5" customHeight="1">
      <c r="A120" s="113" t="s">
        <v>178</v>
      </c>
      <c r="B120" s="107" t="s">
        <v>89</v>
      </c>
      <c r="C120" s="121">
        <v>1011</v>
      </c>
      <c r="D120" s="119">
        <f>SUM(D121:D124)</f>
        <v>134.80000000000001</v>
      </c>
      <c r="E120" s="119">
        <f>E121+E122+E123+E124</f>
        <v>161.10000000000002</v>
      </c>
      <c r="F120" s="119">
        <f>F121+F122+F123+F124</f>
        <v>167.1</v>
      </c>
      <c r="G120" s="122">
        <f t="shared" si="41"/>
        <v>5.9999999999999716</v>
      </c>
      <c r="H120" s="122">
        <f t="shared" ref="H120:H124" si="53">F120/E120*100</f>
        <v>103.72439478584727</v>
      </c>
      <c r="J120" s="103"/>
      <c r="K120" s="104"/>
      <c r="L120" s="104"/>
      <c r="M120" s="104"/>
    </row>
    <row r="121" spans="1:13" ht="18.75" customHeight="1">
      <c r="A121" s="114"/>
      <c r="B121" s="16" t="s">
        <v>124</v>
      </c>
      <c r="C121" s="9"/>
      <c r="D121" s="26">
        <v>7.1</v>
      </c>
      <c r="E121" s="180">
        <v>4.3000000000000007</v>
      </c>
      <c r="F121" s="26">
        <v>7.4</v>
      </c>
      <c r="G121" s="19">
        <f t="shared" si="41"/>
        <v>3.0999999999999996</v>
      </c>
      <c r="H121" s="19">
        <f t="shared" si="53"/>
        <v>172.09302325581393</v>
      </c>
    </row>
    <row r="122" spans="1:13" ht="23.25" customHeight="1">
      <c r="A122" s="114"/>
      <c r="B122" s="16" t="s">
        <v>125</v>
      </c>
      <c r="C122" s="9"/>
      <c r="D122" s="26">
        <v>1.3</v>
      </c>
      <c r="E122" s="180">
        <v>1</v>
      </c>
      <c r="F122" s="26">
        <v>1.6</v>
      </c>
      <c r="G122" s="19">
        <f t="shared" si="41"/>
        <v>0.60000000000000009</v>
      </c>
      <c r="H122" s="19">
        <f t="shared" si="53"/>
        <v>160</v>
      </c>
    </row>
    <row r="123" spans="1:13" ht="22.5" customHeight="1">
      <c r="A123" s="114"/>
      <c r="B123" s="16" t="s">
        <v>126</v>
      </c>
      <c r="C123" s="9"/>
      <c r="D123" s="26">
        <v>126</v>
      </c>
      <c r="E123" s="180">
        <v>155.4</v>
      </c>
      <c r="F123" s="26">
        <v>157.69999999999999</v>
      </c>
      <c r="G123" s="19">
        <f t="shared" ref="G123:G127" si="54">F123-E123</f>
        <v>2.2999999999999829</v>
      </c>
      <c r="H123" s="19">
        <f t="shared" si="53"/>
        <v>101.48005148005146</v>
      </c>
    </row>
    <row r="124" spans="1:13" ht="21" customHeight="1">
      <c r="A124" s="114"/>
      <c r="B124" s="16" t="s">
        <v>127</v>
      </c>
      <c r="C124" s="9"/>
      <c r="D124" s="26">
        <v>0.4</v>
      </c>
      <c r="E124" s="180">
        <v>0.4</v>
      </c>
      <c r="F124" s="26">
        <v>0.4</v>
      </c>
      <c r="G124" s="19">
        <f t="shared" si="54"/>
        <v>0</v>
      </c>
      <c r="H124" s="19">
        <f t="shared" si="53"/>
        <v>100</v>
      </c>
    </row>
    <row r="125" spans="1:13" ht="24" customHeight="1">
      <c r="A125" s="109" t="s">
        <v>179</v>
      </c>
      <c r="B125" s="20" t="s">
        <v>77</v>
      </c>
      <c r="C125" s="110">
        <v>1020</v>
      </c>
      <c r="D125" s="111">
        <f t="shared" ref="D125:F125" si="55">SUM(D126)</f>
        <v>0.3</v>
      </c>
      <c r="E125" s="111">
        <f t="shared" si="55"/>
        <v>0.3</v>
      </c>
      <c r="F125" s="111">
        <f t="shared" si="55"/>
        <v>0.3</v>
      </c>
      <c r="G125" s="112">
        <f t="shared" si="54"/>
        <v>0</v>
      </c>
      <c r="H125" s="112">
        <f t="shared" ref="H125:H127" si="56">(F125/E125)*100</f>
        <v>100</v>
      </c>
    </row>
    <row r="126" spans="1:13" s="99" customFormat="1" ht="24" customHeight="1">
      <c r="A126" s="113" t="s">
        <v>231</v>
      </c>
      <c r="B126" s="128" t="s">
        <v>146</v>
      </c>
      <c r="C126" s="121">
        <v>1025</v>
      </c>
      <c r="D126" s="119">
        <f t="shared" ref="D126" si="57">SUM(D127)</f>
        <v>0.3</v>
      </c>
      <c r="E126" s="119">
        <v>0.3</v>
      </c>
      <c r="F126" s="119">
        <v>0.3</v>
      </c>
      <c r="G126" s="122">
        <f t="shared" si="54"/>
        <v>0</v>
      </c>
      <c r="H126" s="122">
        <f t="shared" si="56"/>
        <v>100</v>
      </c>
      <c r="J126" s="103"/>
      <c r="K126" s="104"/>
      <c r="L126" s="104"/>
      <c r="M126" s="104"/>
    </row>
    <row r="127" spans="1:13" ht="20.25" customHeight="1">
      <c r="A127" s="114"/>
      <c r="B127" s="16" t="s">
        <v>38</v>
      </c>
      <c r="C127" s="9"/>
      <c r="D127" s="26">
        <v>0.3</v>
      </c>
      <c r="E127" s="180">
        <v>0.3</v>
      </c>
      <c r="F127" s="26">
        <v>0.3</v>
      </c>
      <c r="G127" s="19">
        <f t="shared" si="54"/>
        <v>0</v>
      </c>
      <c r="H127" s="19">
        <f t="shared" si="56"/>
        <v>100</v>
      </c>
    </row>
    <row r="128" spans="1:13" ht="20.25" customHeight="1">
      <c r="A128" s="96" t="s">
        <v>271</v>
      </c>
      <c r="B128" s="173" t="s">
        <v>135</v>
      </c>
      <c r="C128" s="13"/>
      <c r="D128" s="27">
        <f t="shared" ref="D128" si="58">SUM(D130,)</f>
        <v>0</v>
      </c>
      <c r="E128" s="27">
        <f t="shared" ref="E128:F128" si="59">SUM(E130,)</f>
        <v>3</v>
      </c>
      <c r="F128" s="27">
        <f t="shared" si="59"/>
        <v>0</v>
      </c>
      <c r="G128" s="63">
        <f t="shared" ref="G128:G204" si="60">F128-E128</f>
        <v>-3</v>
      </c>
      <c r="H128" s="63">
        <f t="shared" ref="H128:H204" si="61">(F128/E128)*100</f>
        <v>0</v>
      </c>
    </row>
    <row r="129" spans="1:13" ht="25.5" customHeight="1">
      <c r="A129" s="96"/>
      <c r="B129" s="107" t="s">
        <v>72</v>
      </c>
      <c r="C129" s="13"/>
      <c r="D129" s="27"/>
      <c r="E129" s="27"/>
      <c r="F129" s="27"/>
      <c r="G129" s="63"/>
      <c r="H129" s="63"/>
    </row>
    <row r="130" spans="1:13" ht="25.5" customHeight="1">
      <c r="A130" s="109" t="s">
        <v>180</v>
      </c>
      <c r="B130" s="20" t="s">
        <v>77</v>
      </c>
      <c r="C130" s="110">
        <v>1020</v>
      </c>
      <c r="D130" s="111">
        <f>D132</f>
        <v>0</v>
      </c>
      <c r="E130" s="111">
        <f>SUM(E131)</f>
        <v>3</v>
      </c>
      <c r="F130" s="111">
        <f>F132</f>
        <v>0</v>
      </c>
      <c r="G130" s="112">
        <f t="shared" si="60"/>
        <v>-3</v>
      </c>
      <c r="H130" s="122">
        <f t="shared" si="61"/>
        <v>0</v>
      </c>
    </row>
    <row r="131" spans="1:13" s="99" customFormat="1" ht="26.25" customHeight="1">
      <c r="A131" s="113" t="s">
        <v>181</v>
      </c>
      <c r="B131" s="107" t="s">
        <v>89</v>
      </c>
      <c r="C131" s="121">
        <v>1021</v>
      </c>
      <c r="D131" s="119">
        <f>D132</f>
        <v>0</v>
      </c>
      <c r="E131" s="119">
        <f>SUM(E132)</f>
        <v>3</v>
      </c>
      <c r="F131" s="119">
        <f>F132</f>
        <v>0</v>
      </c>
      <c r="G131" s="122">
        <f t="shared" si="60"/>
        <v>-3</v>
      </c>
      <c r="H131" s="122">
        <f t="shared" si="61"/>
        <v>0</v>
      </c>
      <c r="J131" s="103"/>
      <c r="K131" s="104"/>
      <c r="L131" s="104"/>
      <c r="M131" s="104"/>
    </row>
    <row r="132" spans="1:13" ht="24.75" customHeight="1">
      <c r="A132" s="96"/>
      <c r="B132" s="16" t="s">
        <v>142</v>
      </c>
      <c r="C132" s="13"/>
      <c r="D132" s="26"/>
      <c r="E132" s="26">
        <v>3</v>
      </c>
      <c r="F132" s="26"/>
      <c r="G132" s="19">
        <f t="shared" si="60"/>
        <v>-3</v>
      </c>
      <c r="H132" s="19">
        <f t="shared" si="61"/>
        <v>0</v>
      </c>
    </row>
    <row r="133" spans="1:13" ht="22.5" customHeight="1">
      <c r="A133" s="96" t="s">
        <v>136</v>
      </c>
      <c r="B133" s="173" t="s">
        <v>247</v>
      </c>
      <c r="C133" s="13"/>
      <c r="D133" s="27">
        <f>SUM(D135,D152)</f>
        <v>5509</v>
      </c>
      <c r="E133" s="27">
        <f t="shared" ref="E133" si="62">SUM(E135,)</f>
        <v>0</v>
      </c>
      <c r="F133" s="27">
        <f>F135</f>
        <v>6403</v>
      </c>
      <c r="G133" s="63">
        <f t="shared" si="60"/>
        <v>6403</v>
      </c>
      <c r="H133" s="146" t="e">
        <f t="shared" si="61"/>
        <v>#DIV/0!</v>
      </c>
    </row>
    <row r="134" spans="1:13" ht="21" customHeight="1">
      <c r="A134" s="96"/>
      <c r="B134" s="107" t="s">
        <v>72</v>
      </c>
      <c r="C134" s="9"/>
      <c r="D134" s="26"/>
      <c r="E134" s="26"/>
      <c r="F134" s="26"/>
      <c r="G134" s="19"/>
      <c r="H134" s="19"/>
    </row>
    <row r="135" spans="1:13" ht="38.25" customHeight="1">
      <c r="A135" s="109" t="s">
        <v>170</v>
      </c>
      <c r="B135" s="20" t="s">
        <v>76</v>
      </c>
      <c r="C135" s="110">
        <v>1010</v>
      </c>
      <c r="D135" s="111">
        <f>SUM(D136,D146)</f>
        <v>5505.8</v>
      </c>
      <c r="E135" s="111">
        <f t="shared" ref="E135" si="63">SUM(E136)</f>
        <v>0</v>
      </c>
      <c r="F135" s="111">
        <f>F136+F146</f>
        <v>6403</v>
      </c>
      <c r="G135" s="112">
        <f t="shared" si="60"/>
        <v>6403</v>
      </c>
      <c r="H135" s="150" t="e">
        <f t="shared" si="61"/>
        <v>#DIV/0!</v>
      </c>
    </row>
    <row r="136" spans="1:13" s="99" customFormat="1" ht="24" customHeight="1">
      <c r="A136" s="113" t="s">
        <v>192</v>
      </c>
      <c r="B136" s="107" t="s">
        <v>89</v>
      </c>
      <c r="C136" s="121">
        <v>1011</v>
      </c>
      <c r="D136" s="119">
        <f>SUM(D137:D145)</f>
        <v>5452.1</v>
      </c>
      <c r="E136" s="119">
        <f>SUM(E137:E145)</f>
        <v>0</v>
      </c>
      <c r="F136" s="119">
        <f>SUM(F137:F145)</f>
        <v>6367</v>
      </c>
      <c r="G136" s="122">
        <f t="shared" si="60"/>
        <v>6367</v>
      </c>
      <c r="H136" s="147" t="e">
        <f t="shared" si="61"/>
        <v>#DIV/0!</v>
      </c>
      <c r="J136" s="103"/>
      <c r="K136" s="104"/>
      <c r="L136" s="104"/>
      <c r="M136" s="104"/>
    </row>
    <row r="137" spans="1:13" ht="24" customHeight="1">
      <c r="A137" s="96"/>
      <c r="B137" s="16" t="s">
        <v>182</v>
      </c>
      <c r="C137" s="13"/>
      <c r="D137" s="26">
        <v>275.89999999999998</v>
      </c>
      <c r="E137" s="26"/>
      <c r="F137" s="26">
        <v>343.9</v>
      </c>
      <c r="G137" s="19">
        <f t="shared" si="60"/>
        <v>343.9</v>
      </c>
      <c r="H137" s="146" t="e">
        <f t="shared" si="61"/>
        <v>#DIV/0!</v>
      </c>
    </row>
    <row r="138" spans="1:13" ht="21.75" customHeight="1">
      <c r="A138" s="96"/>
      <c r="B138" s="16" t="s">
        <v>212</v>
      </c>
      <c r="C138" s="9"/>
      <c r="D138" s="26">
        <v>719.2</v>
      </c>
      <c r="E138" s="26"/>
      <c r="F138" s="26">
        <v>550.9</v>
      </c>
      <c r="G138" s="19">
        <f t="shared" si="60"/>
        <v>550.9</v>
      </c>
      <c r="H138" s="146" t="e">
        <f t="shared" si="61"/>
        <v>#DIV/0!</v>
      </c>
    </row>
    <row r="139" spans="1:13" ht="21" customHeight="1">
      <c r="A139" s="96"/>
      <c r="B139" s="16" t="s">
        <v>193</v>
      </c>
      <c r="C139" s="9"/>
      <c r="D139" s="26">
        <v>151.6</v>
      </c>
      <c r="E139" s="26"/>
      <c r="F139" s="26">
        <v>204.6</v>
      </c>
      <c r="G139" s="19">
        <f t="shared" si="60"/>
        <v>204.6</v>
      </c>
      <c r="H139" s="146" t="e">
        <f t="shared" si="61"/>
        <v>#DIV/0!</v>
      </c>
    </row>
    <row r="140" spans="1:13" ht="20.25" customHeight="1">
      <c r="A140" s="96"/>
      <c r="B140" s="16" t="s">
        <v>140</v>
      </c>
      <c r="C140" s="9"/>
      <c r="D140" s="26">
        <v>52.3</v>
      </c>
      <c r="E140" s="26"/>
      <c r="F140" s="26">
        <v>194.3</v>
      </c>
      <c r="G140" s="19">
        <f t="shared" si="60"/>
        <v>194.3</v>
      </c>
      <c r="H140" s="146" t="e">
        <f t="shared" si="61"/>
        <v>#DIV/0!</v>
      </c>
    </row>
    <row r="141" spans="1:13" ht="18" customHeight="1">
      <c r="A141" s="96"/>
      <c r="B141" s="16" t="s">
        <v>141</v>
      </c>
      <c r="C141" s="9"/>
      <c r="D141" s="26">
        <v>98.1</v>
      </c>
      <c r="E141" s="26"/>
      <c r="F141" s="26">
        <v>157.6</v>
      </c>
      <c r="G141" s="19">
        <f t="shared" si="60"/>
        <v>157.6</v>
      </c>
      <c r="H141" s="146" t="e">
        <f t="shared" si="61"/>
        <v>#DIV/0!</v>
      </c>
    </row>
    <row r="142" spans="1:13" ht="22.5" customHeight="1">
      <c r="A142" s="96"/>
      <c r="B142" s="16" t="s">
        <v>194</v>
      </c>
      <c r="C142" s="9"/>
      <c r="D142" s="26">
        <v>1.2</v>
      </c>
      <c r="E142" s="26"/>
      <c r="F142" s="26">
        <v>3.5</v>
      </c>
      <c r="G142" s="19">
        <f t="shared" si="60"/>
        <v>3.5</v>
      </c>
      <c r="H142" s="146" t="e">
        <f t="shared" si="61"/>
        <v>#DIV/0!</v>
      </c>
    </row>
    <row r="143" spans="1:13" ht="21" customHeight="1">
      <c r="A143" s="96"/>
      <c r="B143" s="16" t="s">
        <v>143</v>
      </c>
      <c r="C143" s="9"/>
      <c r="D143" s="26">
        <v>152.5</v>
      </c>
      <c r="E143" s="26"/>
      <c r="F143" s="26">
        <v>553.6</v>
      </c>
      <c r="G143" s="19">
        <f t="shared" si="60"/>
        <v>553.6</v>
      </c>
      <c r="H143" s="146" t="e">
        <f t="shared" si="61"/>
        <v>#DIV/0!</v>
      </c>
    </row>
    <row r="144" spans="1:13" ht="20.25" customHeight="1">
      <c r="A144" s="96"/>
      <c r="B144" s="16" t="s">
        <v>110</v>
      </c>
      <c r="C144" s="29"/>
      <c r="D144" s="26">
        <f>4876.4+1.6-1662.8</f>
        <v>3215.2</v>
      </c>
      <c r="E144" s="26"/>
      <c r="F144" s="26">
        <v>4043.3</v>
      </c>
      <c r="G144" s="19">
        <f t="shared" si="60"/>
        <v>4043.3</v>
      </c>
      <c r="H144" s="146" t="e">
        <f t="shared" si="61"/>
        <v>#DIV/0!</v>
      </c>
    </row>
    <row r="145" spans="1:8" ht="20.25" customHeight="1">
      <c r="A145" s="96"/>
      <c r="B145" s="16" t="s">
        <v>131</v>
      </c>
      <c r="C145" s="9"/>
      <c r="D145" s="26">
        <v>786.1</v>
      </c>
      <c r="E145" s="26"/>
      <c r="F145" s="26">
        <v>315.3</v>
      </c>
      <c r="G145" s="19">
        <f t="shared" si="60"/>
        <v>315.3</v>
      </c>
      <c r="H145" s="146" t="e">
        <f t="shared" si="61"/>
        <v>#DIV/0!</v>
      </c>
    </row>
    <row r="146" spans="1:8" ht="20.25" customHeight="1">
      <c r="A146" s="113" t="s">
        <v>310</v>
      </c>
      <c r="B146" s="20" t="s">
        <v>79</v>
      </c>
      <c r="C146" s="110">
        <v>1015</v>
      </c>
      <c r="D146" s="111">
        <f>D147+D148+D149+D150+D151</f>
        <v>53.7</v>
      </c>
      <c r="E146" s="26"/>
      <c r="F146" s="111">
        <f>F147+F148+F149+F150+F151</f>
        <v>36</v>
      </c>
      <c r="G146" s="19"/>
      <c r="H146" s="146"/>
    </row>
    <row r="147" spans="1:8" ht="20.25" customHeight="1">
      <c r="A147" s="96"/>
      <c r="B147" s="16" t="s">
        <v>311</v>
      </c>
      <c r="C147" s="9"/>
      <c r="D147" s="26">
        <v>19.2</v>
      </c>
      <c r="E147" s="26"/>
      <c r="F147" s="26">
        <v>32.5</v>
      </c>
      <c r="G147" s="19"/>
      <c r="H147" s="146"/>
    </row>
    <row r="148" spans="1:8" ht="20.25" customHeight="1">
      <c r="A148" s="96"/>
      <c r="B148" s="250" t="s">
        <v>342</v>
      </c>
      <c r="C148" s="9"/>
      <c r="D148" s="26">
        <v>3.2</v>
      </c>
      <c r="E148" s="26"/>
      <c r="F148" s="26"/>
      <c r="G148" s="19"/>
      <c r="H148" s="146"/>
    </row>
    <row r="149" spans="1:8" ht="20.25" customHeight="1">
      <c r="A149" s="96"/>
      <c r="B149" s="16" t="s">
        <v>343</v>
      </c>
      <c r="C149" s="9"/>
      <c r="D149" s="26">
        <v>23.3</v>
      </c>
      <c r="E149" s="26"/>
      <c r="F149" s="26">
        <v>3.5</v>
      </c>
      <c r="G149" s="19"/>
      <c r="H149" s="146"/>
    </row>
    <row r="150" spans="1:8" ht="20.25" customHeight="1">
      <c r="A150" s="96"/>
      <c r="B150" s="242" t="s">
        <v>337</v>
      </c>
      <c r="C150" s="9"/>
      <c r="D150" s="26">
        <v>6.2</v>
      </c>
      <c r="E150" s="26"/>
      <c r="F150" s="26"/>
      <c r="G150" s="19"/>
      <c r="H150" s="146"/>
    </row>
    <row r="151" spans="1:8" ht="20.25" customHeight="1">
      <c r="A151" s="96"/>
      <c r="B151" s="242" t="s">
        <v>344</v>
      </c>
      <c r="C151" s="9"/>
      <c r="D151" s="26">
        <v>1.8</v>
      </c>
      <c r="E151" s="26"/>
      <c r="F151" s="26"/>
      <c r="G151" s="19"/>
      <c r="H151" s="146"/>
    </row>
    <row r="152" spans="1:8" ht="20.25" customHeight="1">
      <c r="A152" s="96" t="s">
        <v>345</v>
      </c>
      <c r="B152" s="162" t="s">
        <v>77</v>
      </c>
      <c r="C152" s="110">
        <v>1020</v>
      </c>
      <c r="D152" s="111">
        <v>3.2</v>
      </c>
      <c r="E152" s="111"/>
      <c r="F152" s="111"/>
      <c r="G152" s="112"/>
      <c r="H152" s="150"/>
    </row>
    <row r="153" spans="1:8" ht="20.25" customHeight="1">
      <c r="A153" s="145" t="s">
        <v>346</v>
      </c>
      <c r="B153" s="128" t="s">
        <v>347</v>
      </c>
      <c r="C153" s="121">
        <v>1025</v>
      </c>
      <c r="D153" s="26">
        <v>3.2</v>
      </c>
      <c r="E153" s="26"/>
      <c r="F153" s="26"/>
      <c r="G153" s="19"/>
      <c r="H153" s="146"/>
    </row>
    <row r="154" spans="1:8" ht="20.25" customHeight="1">
      <c r="A154" s="183"/>
      <c r="B154" s="16" t="s">
        <v>339</v>
      </c>
      <c r="C154" s="121"/>
      <c r="D154" s="26">
        <v>3.2</v>
      </c>
      <c r="E154" s="26"/>
      <c r="F154" s="26"/>
      <c r="G154" s="19"/>
      <c r="H154" s="146"/>
    </row>
    <row r="155" spans="1:8" ht="37.5" customHeight="1">
      <c r="A155" s="96" t="s">
        <v>137</v>
      </c>
      <c r="B155" s="251" t="s">
        <v>248</v>
      </c>
      <c r="C155" s="13"/>
      <c r="D155" s="27">
        <f>SUM(D157,D174,D177)</f>
        <v>1662.8</v>
      </c>
      <c r="E155" s="26"/>
      <c r="F155" s="26"/>
      <c r="G155" s="19"/>
      <c r="H155" s="146"/>
    </row>
    <row r="156" spans="1:8" ht="20.25" customHeight="1">
      <c r="A156" s="96"/>
      <c r="B156" s="252" t="s">
        <v>72</v>
      </c>
      <c r="C156" s="9"/>
      <c r="D156" s="26"/>
      <c r="E156" s="26"/>
      <c r="F156" s="26"/>
      <c r="G156" s="19"/>
      <c r="H156" s="146"/>
    </row>
    <row r="157" spans="1:8" ht="38.25" customHeight="1">
      <c r="A157" s="96" t="s">
        <v>237</v>
      </c>
      <c r="B157" s="251" t="s">
        <v>76</v>
      </c>
      <c r="C157" s="13">
        <v>1010</v>
      </c>
      <c r="D157" s="27">
        <f>D158</f>
        <v>1662.8</v>
      </c>
      <c r="E157" s="26"/>
      <c r="F157" s="26"/>
      <c r="G157" s="19"/>
      <c r="H157" s="146"/>
    </row>
    <row r="158" spans="1:8" ht="20.25" customHeight="1">
      <c r="A158" s="113" t="s">
        <v>238</v>
      </c>
      <c r="B158" s="253" t="s">
        <v>89</v>
      </c>
      <c r="C158" s="121">
        <v>1011</v>
      </c>
      <c r="D158" s="119">
        <f>D159</f>
        <v>1662.8</v>
      </c>
      <c r="E158" s="26"/>
      <c r="F158" s="26"/>
      <c r="G158" s="19"/>
      <c r="H158" s="146"/>
    </row>
    <row r="159" spans="1:8" ht="20.25" customHeight="1">
      <c r="A159" s="96"/>
      <c r="B159" s="254" t="s">
        <v>110</v>
      </c>
      <c r="C159" s="9"/>
      <c r="D159" s="26">
        <v>1662.8</v>
      </c>
      <c r="E159" s="26"/>
      <c r="F159" s="26"/>
      <c r="G159" s="19"/>
      <c r="H159" s="146"/>
    </row>
    <row r="160" spans="1:8" ht="21" customHeight="1">
      <c r="A160" s="96" t="s">
        <v>232</v>
      </c>
      <c r="B160" s="173" t="s">
        <v>253</v>
      </c>
      <c r="C160" s="13"/>
      <c r="D160" s="27">
        <f>SUM(D162,)</f>
        <v>12.4</v>
      </c>
      <c r="E160" s="27">
        <f t="shared" ref="E160:F160" si="64">SUM(E162,)</f>
        <v>0</v>
      </c>
      <c r="F160" s="27">
        <f t="shared" si="64"/>
        <v>0</v>
      </c>
      <c r="G160" s="63">
        <f t="shared" si="60"/>
        <v>0</v>
      </c>
      <c r="H160" s="146" t="e">
        <f t="shared" si="61"/>
        <v>#DIV/0!</v>
      </c>
    </row>
    <row r="161" spans="1:13" ht="20.25" customHeight="1">
      <c r="A161" s="96"/>
      <c r="B161" s="107" t="s">
        <v>72</v>
      </c>
      <c r="C161" s="9"/>
      <c r="D161" s="26"/>
      <c r="E161" s="26"/>
      <c r="F161" s="26"/>
      <c r="G161" s="19"/>
      <c r="H161" s="146"/>
    </row>
    <row r="162" spans="1:13" ht="36" customHeight="1">
      <c r="A162" s="109" t="s">
        <v>233</v>
      </c>
      <c r="B162" s="20" t="s">
        <v>76</v>
      </c>
      <c r="C162" s="110">
        <v>1010</v>
      </c>
      <c r="D162" s="111">
        <f>SUM(D163,)</f>
        <v>12.4</v>
      </c>
      <c r="E162" s="111">
        <f>SUM(E163,)</f>
        <v>0</v>
      </c>
      <c r="F162" s="111">
        <f>F164+F165</f>
        <v>0</v>
      </c>
      <c r="G162" s="112">
        <f t="shared" si="60"/>
        <v>0</v>
      </c>
      <c r="H162" s="150" t="e">
        <f t="shared" si="61"/>
        <v>#DIV/0!</v>
      </c>
    </row>
    <row r="163" spans="1:13" ht="24.75" customHeight="1">
      <c r="A163" s="113" t="s">
        <v>274</v>
      </c>
      <c r="B163" s="107" t="s">
        <v>89</v>
      </c>
      <c r="C163" s="121">
        <v>1011</v>
      </c>
      <c r="D163" s="119">
        <f>D164+D165</f>
        <v>12.4</v>
      </c>
      <c r="E163" s="119">
        <f>SUM(E164:E165)</f>
        <v>0</v>
      </c>
      <c r="F163" s="119"/>
      <c r="G163" s="122">
        <f t="shared" si="60"/>
        <v>0</v>
      </c>
      <c r="H163" s="147" t="e">
        <f t="shared" si="61"/>
        <v>#DIV/0!</v>
      </c>
    </row>
    <row r="164" spans="1:13" ht="21" customHeight="1">
      <c r="A164" s="96"/>
      <c r="B164" s="16" t="s">
        <v>182</v>
      </c>
      <c r="C164" s="13"/>
      <c r="D164" s="26">
        <v>12.1</v>
      </c>
      <c r="E164" s="26"/>
      <c r="F164" s="26"/>
      <c r="G164" s="19">
        <f t="shared" si="60"/>
        <v>0</v>
      </c>
      <c r="H164" s="146" t="e">
        <f t="shared" si="61"/>
        <v>#DIV/0!</v>
      </c>
    </row>
    <row r="165" spans="1:13" ht="21" customHeight="1">
      <c r="A165" s="96"/>
      <c r="B165" s="16" t="s">
        <v>110</v>
      </c>
      <c r="C165" s="29"/>
      <c r="D165" s="26">
        <v>0.3</v>
      </c>
      <c r="E165" s="26"/>
      <c r="F165" s="26"/>
      <c r="G165" s="19">
        <f t="shared" si="60"/>
        <v>0</v>
      </c>
      <c r="H165" s="146" t="e">
        <f t="shared" si="61"/>
        <v>#DIV/0!</v>
      </c>
    </row>
    <row r="166" spans="1:13" s="99" customFormat="1" ht="21.75" customHeight="1">
      <c r="A166" s="96" t="s">
        <v>275</v>
      </c>
      <c r="B166" s="173" t="s">
        <v>254</v>
      </c>
      <c r="C166" s="13"/>
      <c r="D166" s="27">
        <v>577.5</v>
      </c>
      <c r="E166" s="27"/>
      <c r="F166" s="27">
        <f>F168</f>
        <v>846.2</v>
      </c>
      <c r="G166" s="63">
        <f t="shared" si="60"/>
        <v>846.2</v>
      </c>
      <c r="H166" s="149" t="e">
        <f t="shared" si="61"/>
        <v>#DIV/0!</v>
      </c>
      <c r="J166" s="103"/>
      <c r="K166" s="104"/>
      <c r="L166" s="104"/>
      <c r="M166" s="104"/>
    </row>
    <row r="167" spans="1:13" ht="25.5" customHeight="1">
      <c r="A167" s="96"/>
      <c r="B167" s="107" t="s">
        <v>72</v>
      </c>
      <c r="C167" s="9"/>
      <c r="D167" s="26"/>
      <c r="E167" s="26"/>
      <c r="F167" s="26"/>
      <c r="G167" s="19"/>
      <c r="H167" s="146"/>
    </row>
    <row r="168" spans="1:13" ht="43.5" customHeight="1">
      <c r="A168" s="109" t="s">
        <v>276</v>
      </c>
      <c r="B168" s="20" t="s">
        <v>76</v>
      </c>
      <c r="C168" s="110">
        <v>1010</v>
      </c>
      <c r="D168" s="111">
        <f>D169</f>
        <v>577.5</v>
      </c>
      <c r="E168" s="111">
        <f>SUM(E169)</f>
        <v>0</v>
      </c>
      <c r="F168" s="111">
        <f>F169</f>
        <v>846.2</v>
      </c>
      <c r="G168" s="112">
        <f t="shared" si="60"/>
        <v>846.2</v>
      </c>
      <c r="H168" s="150" t="e">
        <f t="shared" si="61"/>
        <v>#DIV/0!</v>
      </c>
    </row>
    <row r="169" spans="1:13" ht="24.75" customHeight="1">
      <c r="A169" s="113" t="s">
        <v>277</v>
      </c>
      <c r="B169" s="107" t="s">
        <v>89</v>
      </c>
      <c r="C169" s="121">
        <v>1011</v>
      </c>
      <c r="D169" s="119">
        <f>D170</f>
        <v>577.5</v>
      </c>
      <c r="E169" s="119">
        <f>SUM(E170)</f>
        <v>0</v>
      </c>
      <c r="F169" s="119">
        <f>F170</f>
        <v>846.2</v>
      </c>
      <c r="G169" s="122">
        <f t="shared" si="60"/>
        <v>846.2</v>
      </c>
      <c r="H169" s="147" t="e">
        <f t="shared" si="61"/>
        <v>#DIV/0!</v>
      </c>
    </row>
    <row r="170" spans="1:13" ht="23.25" customHeight="1">
      <c r="A170" s="96"/>
      <c r="B170" s="16" t="s">
        <v>110</v>
      </c>
      <c r="C170" s="29"/>
      <c r="D170" s="26">
        <v>577.5</v>
      </c>
      <c r="E170" s="26"/>
      <c r="F170" s="26">
        <v>846.2</v>
      </c>
      <c r="G170" s="19">
        <f t="shared" si="60"/>
        <v>846.2</v>
      </c>
      <c r="H170" s="146" t="e">
        <f t="shared" si="61"/>
        <v>#DIV/0!</v>
      </c>
    </row>
    <row r="171" spans="1:13" ht="42" customHeight="1">
      <c r="A171" s="96" t="s">
        <v>278</v>
      </c>
      <c r="B171" s="173" t="s">
        <v>248</v>
      </c>
      <c r="C171" s="13"/>
      <c r="D171" s="27">
        <f>D173</f>
        <v>0</v>
      </c>
      <c r="E171" s="27"/>
      <c r="F171" s="27">
        <f>F173</f>
        <v>0</v>
      </c>
      <c r="G171" s="149">
        <f t="shared" si="60"/>
        <v>0</v>
      </c>
      <c r="H171" s="149" t="e">
        <f t="shared" si="61"/>
        <v>#DIV/0!</v>
      </c>
    </row>
    <row r="172" spans="1:13" ht="27" customHeight="1">
      <c r="A172" s="96"/>
      <c r="B172" s="107" t="s">
        <v>72</v>
      </c>
      <c r="C172" s="13"/>
      <c r="D172" s="26"/>
      <c r="E172" s="26"/>
      <c r="F172" s="26"/>
      <c r="G172" s="19"/>
      <c r="H172" s="19"/>
    </row>
    <row r="173" spans="1:13" ht="41.25" customHeight="1">
      <c r="A173" s="109" t="s">
        <v>279</v>
      </c>
      <c r="B173" s="20" t="s">
        <v>76</v>
      </c>
      <c r="C173" s="110">
        <v>1010</v>
      </c>
      <c r="D173" s="111">
        <f>D174</f>
        <v>0</v>
      </c>
      <c r="E173" s="119"/>
      <c r="F173" s="119">
        <f>F174</f>
        <v>0</v>
      </c>
      <c r="G173" s="122">
        <f t="shared" si="60"/>
        <v>0</v>
      </c>
      <c r="H173" s="147" t="e">
        <f t="shared" si="61"/>
        <v>#DIV/0!</v>
      </c>
    </row>
    <row r="174" spans="1:13" ht="24" customHeight="1">
      <c r="A174" s="113" t="s">
        <v>280</v>
      </c>
      <c r="B174" s="107" t="s">
        <v>89</v>
      </c>
      <c r="C174" s="121">
        <v>1011</v>
      </c>
      <c r="D174" s="119">
        <f>D175</f>
        <v>0</v>
      </c>
      <c r="E174" s="119"/>
      <c r="F174" s="119">
        <f>F175</f>
        <v>0</v>
      </c>
      <c r="G174" s="122">
        <f t="shared" si="60"/>
        <v>0</v>
      </c>
      <c r="H174" s="147" t="e">
        <f t="shared" si="61"/>
        <v>#DIV/0!</v>
      </c>
    </row>
    <row r="175" spans="1:13" ht="26.25" customHeight="1">
      <c r="A175" s="96"/>
      <c r="B175" s="16" t="s">
        <v>110</v>
      </c>
      <c r="C175" s="13"/>
      <c r="D175" s="26"/>
      <c r="E175" s="26"/>
      <c r="F175" s="26"/>
      <c r="G175" s="19">
        <f t="shared" si="60"/>
        <v>0</v>
      </c>
      <c r="H175" s="146" t="e">
        <f t="shared" si="61"/>
        <v>#DIV/0!</v>
      </c>
    </row>
    <row r="176" spans="1:13" ht="36.75" customHeight="1">
      <c r="A176" s="96" t="s">
        <v>281</v>
      </c>
      <c r="B176" s="174" t="s">
        <v>300</v>
      </c>
      <c r="C176" s="13"/>
      <c r="D176" s="27">
        <f>D178+D189+D192</f>
        <v>500</v>
      </c>
      <c r="E176" s="27">
        <f>E178+E189</f>
        <v>478.5</v>
      </c>
      <c r="F176" s="27">
        <f>F178+F189</f>
        <v>100.89999999999999</v>
      </c>
      <c r="G176" s="63">
        <f t="shared" si="60"/>
        <v>-377.6</v>
      </c>
      <c r="H176" s="63">
        <f t="shared" si="61"/>
        <v>21.086729362591431</v>
      </c>
    </row>
    <row r="177" spans="1:13" ht="23.25" customHeight="1">
      <c r="A177" s="96"/>
      <c r="B177" s="151" t="s">
        <v>72</v>
      </c>
      <c r="C177" s="13"/>
      <c r="D177" s="27"/>
      <c r="E177" s="27"/>
      <c r="F177" s="27"/>
      <c r="G177" s="63"/>
      <c r="H177" s="63"/>
    </row>
    <row r="178" spans="1:13" ht="42.75" customHeight="1">
      <c r="A178" s="109" t="s">
        <v>282</v>
      </c>
      <c r="B178" s="20" t="s">
        <v>76</v>
      </c>
      <c r="C178" s="110">
        <v>1010</v>
      </c>
      <c r="D178" s="111">
        <f>SUM(D179,D183)</f>
        <v>428.9</v>
      </c>
      <c r="E178" s="111">
        <f>SUM(E179,E183)</f>
        <v>475.5</v>
      </c>
      <c r="F178" s="111">
        <f>SUM(F179,F183)</f>
        <v>100.89999999999999</v>
      </c>
      <c r="G178" s="112">
        <f t="shared" si="60"/>
        <v>-374.6</v>
      </c>
      <c r="H178" s="112">
        <f t="shared" si="61"/>
        <v>21.219768664563617</v>
      </c>
    </row>
    <row r="179" spans="1:13" s="99" customFormat="1" ht="23.25" customHeight="1">
      <c r="A179" s="113" t="s">
        <v>283</v>
      </c>
      <c r="B179" s="107" t="s">
        <v>89</v>
      </c>
      <c r="C179" s="121">
        <v>1011</v>
      </c>
      <c r="D179" s="119">
        <f>SUM(D180)</f>
        <v>39.200000000000003</v>
      </c>
      <c r="E179" s="119">
        <f>SUM(E180,E181)</f>
        <v>70</v>
      </c>
      <c r="F179" s="119">
        <f>F180+F181+F182</f>
        <v>66.099999999999994</v>
      </c>
      <c r="G179" s="122">
        <f t="shared" si="60"/>
        <v>-3.9000000000000057</v>
      </c>
      <c r="H179" s="122">
        <f t="shared" si="61"/>
        <v>94.428571428571416</v>
      </c>
      <c r="J179" s="103"/>
      <c r="K179" s="104"/>
      <c r="L179" s="104"/>
      <c r="M179" s="104"/>
    </row>
    <row r="180" spans="1:13" ht="21.75" customHeight="1">
      <c r="A180" s="96"/>
      <c r="B180" s="18" t="s">
        <v>141</v>
      </c>
      <c r="C180" s="9"/>
      <c r="D180" s="26">
        <v>39.200000000000003</v>
      </c>
      <c r="E180" s="26">
        <v>30</v>
      </c>
      <c r="F180" s="26"/>
      <c r="G180" s="19">
        <f t="shared" si="60"/>
        <v>-30</v>
      </c>
      <c r="H180" s="146">
        <f t="shared" si="61"/>
        <v>0</v>
      </c>
    </row>
    <row r="181" spans="1:13" ht="36.75" customHeight="1">
      <c r="A181" s="96"/>
      <c r="B181" s="18" t="s">
        <v>307</v>
      </c>
      <c r="C181" s="9"/>
      <c r="D181" s="26"/>
      <c r="E181" s="180">
        <v>40</v>
      </c>
      <c r="F181" s="26">
        <v>43.9</v>
      </c>
      <c r="G181" s="19">
        <f t="shared" si="60"/>
        <v>3.8999999999999986</v>
      </c>
      <c r="H181" s="19">
        <f t="shared" si="61"/>
        <v>109.74999999999999</v>
      </c>
    </row>
    <row r="182" spans="1:13" ht="21" customHeight="1">
      <c r="A182" s="96"/>
      <c r="B182" s="16" t="s">
        <v>110</v>
      </c>
      <c r="C182" s="9"/>
      <c r="D182" s="26"/>
      <c r="E182" s="180"/>
      <c r="F182" s="26">
        <v>22.2</v>
      </c>
      <c r="G182" s="19"/>
      <c r="H182" s="19"/>
    </row>
    <row r="183" spans="1:13" ht="22.5" customHeight="1">
      <c r="A183" s="113" t="s">
        <v>348</v>
      </c>
      <c r="B183" s="107" t="s">
        <v>79</v>
      </c>
      <c r="C183" s="121">
        <v>1015</v>
      </c>
      <c r="D183" s="119">
        <f>D184+D185+D186+D187+D188</f>
        <v>389.7</v>
      </c>
      <c r="E183" s="119">
        <f>E184+E185+E186+E188</f>
        <v>405.5</v>
      </c>
      <c r="F183" s="119">
        <f>F184+F185+F186+F188</f>
        <v>34.799999999999997</v>
      </c>
      <c r="G183" s="122">
        <f t="shared" si="60"/>
        <v>-370.7</v>
      </c>
      <c r="H183" s="122">
        <f t="shared" si="61"/>
        <v>8.5819975339087549</v>
      </c>
    </row>
    <row r="184" spans="1:13" ht="72.75" customHeight="1">
      <c r="A184" s="96"/>
      <c r="B184" s="16" t="s">
        <v>308</v>
      </c>
      <c r="C184" s="9"/>
      <c r="D184" s="26">
        <v>42.1</v>
      </c>
      <c r="E184" s="180">
        <v>100</v>
      </c>
      <c r="F184" s="26">
        <v>17.899999999999999</v>
      </c>
      <c r="G184" s="19">
        <f t="shared" si="60"/>
        <v>-82.1</v>
      </c>
      <c r="H184" s="19">
        <f t="shared" si="61"/>
        <v>17.899999999999999</v>
      </c>
    </row>
    <row r="185" spans="1:13" ht="57.75" customHeight="1">
      <c r="A185" s="96"/>
      <c r="B185" s="16" t="s">
        <v>243</v>
      </c>
      <c r="C185" s="9"/>
      <c r="D185" s="26">
        <v>1.3</v>
      </c>
      <c r="E185" s="180">
        <v>2.5</v>
      </c>
      <c r="F185" s="26">
        <v>0.9</v>
      </c>
      <c r="G185" s="19">
        <f t="shared" si="60"/>
        <v>-1.6</v>
      </c>
      <c r="H185" s="19">
        <f t="shared" si="61"/>
        <v>36</v>
      </c>
    </row>
    <row r="186" spans="1:13" ht="54" customHeight="1">
      <c r="A186" s="96"/>
      <c r="B186" s="31" t="s">
        <v>210</v>
      </c>
      <c r="C186" s="9"/>
      <c r="D186" s="26">
        <v>3.9</v>
      </c>
      <c r="E186" s="180">
        <v>3</v>
      </c>
      <c r="F186" s="26">
        <v>16</v>
      </c>
      <c r="G186" s="19">
        <f t="shared" si="60"/>
        <v>13</v>
      </c>
      <c r="H186" s="19">
        <f t="shared" si="61"/>
        <v>533.33333333333326</v>
      </c>
    </row>
    <row r="187" spans="1:13" ht="21.75" customHeight="1">
      <c r="A187" s="96"/>
      <c r="B187" s="31" t="s">
        <v>338</v>
      </c>
      <c r="C187" s="9"/>
      <c r="D187" s="26">
        <v>144.4</v>
      </c>
      <c r="E187" s="180"/>
      <c r="F187" s="26"/>
      <c r="G187" s="19"/>
      <c r="H187" s="19"/>
    </row>
    <row r="188" spans="1:13" ht="38.25" customHeight="1">
      <c r="A188" s="96"/>
      <c r="B188" s="135" t="s">
        <v>255</v>
      </c>
      <c r="C188" s="9"/>
      <c r="D188" s="26">
        <v>198</v>
      </c>
      <c r="E188" s="180">
        <v>300</v>
      </c>
      <c r="F188" s="26"/>
      <c r="G188" s="19">
        <f t="shared" si="60"/>
        <v>-300</v>
      </c>
      <c r="H188" s="19">
        <f t="shared" si="61"/>
        <v>0</v>
      </c>
    </row>
    <row r="189" spans="1:13" ht="36.75" customHeight="1">
      <c r="A189" s="109" t="s">
        <v>349</v>
      </c>
      <c r="B189" s="20" t="s">
        <v>77</v>
      </c>
      <c r="C189" s="110">
        <v>1020</v>
      </c>
      <c r="D189" s="111">
        <v>3.1</v>
      </c>
      <c r="E189" s="111">
        <v>3</v>
      </c>
      <c r="F189" s="111"/>
      <c r="G189" s="112">
        <f t="shared" si="60"/>
        <v>-3</v>
      </c>
      <c r="H189" s="112">
        <f t="shared" si="61"/>
        <v>0</v>
      </c>
    </row>
    <row r="190" spans="1:13" ht="22.5" customHeight="1">
      <c r="A190" s="113" t="s">
        <v>350</v>
      </c>
      <c r="B190" s="128" t="s">
        <v>146</v>
      </c>
      <c r="C190" s="121">
        <v>1025</v>
      </c>
      <c r="D190" s="119">
        <v>3.1</v>
      </c>
      <c r="E190" s="119">
        <v>3</v>
      </c>
      <c r="F190" s="119"/>
      <c r="G190" s="122">
        <f t="shared" si="60"/>
        <v>-3</v>
      </c>
      <c r="H190" s="122">
        <f t="shared" si="61"/>
        <v>0</v>
      </c>
      <c r="J190" s="136"/>
      <c r="K190" s="155"/>
    </row>
    <row r="191" spans="1:13" ht="37.5">
      <c r="A191" s="96"/>
      <c r="B191" s="16" t="s">
        <v>149</v>
      </c>
      <c r="C191" s="9"/>
      <c r="D191" s="26">
        <v>3.1</v>
      </c>
      <c r="E191" s="180">
        <v>3</v>
      </c>
      <c r="F191" s="26"/>
      <c r="G191" s="19">
        <f t="shared" si="60"/>
        <v>-3</v>
      </c>
      <c r="H191" s="19">
        <f t="shared" si="61"/>
        <v>0</v>
      </c>
      <c r="J191" s="136"/>
      <c r="K191" s="155"/>
    </row>
    <row r="192" spans="1:13" ht="39">
      <c r="A192" s="109" t="s">
        <v>355</v>
      </c>
      <c r="B192" s="129" t="s">
        <v>10</v>
      </c>
      <c r="C192" s="110">
        <v>1030</v>
      </c>
      <c r="D192" s="111">
        <v>68</v>
      </c>
      <c r="E192" s="144"/>
      <c r="F192" s="111"/>
      <c r="G192" s="112"/>
      <c r="H192" s="112"/>
      <c r="J192" s="136"/>
      <c r="K192" s="155"/>
    </row>
    <row r="193" spans="1:11">
      <c r="A193" s="113" t="s">
        <v>356</v>
      </c>
      <c r="B193" s="255" t="s">
        <v>89</v>
      </c>
      <c r="C193" s="121">
        <v>1031</v>
      </c>
      <c r="D193" s="26">
        <v>68</v>
      </c>
      <c r="E193" s="180"/>
      <c r="F193" s="26"/>
      <c r="G193" s="19"/>
      <c r="H193" s="19"/>
      <c r="J193" s="136"/>
      <c r="K193" s="155"/>
    </row>
    <row r="194" spans="1:11">
      <c r="A194" s="96"/>
      <c r="B194" s="135" t="s">
        <v>340</v>
      </c>
      <c r="C194" s="9"/>
      <c r="D194" s="26">
        <v>68</v>
      </c>
      <c r="E194" s="180"/>
      <c r="F194" s="26"/>
      <c r="G194" s="19"/>
      <c r="H194" s="19"/>
      <c r="J194" s="136"/>
      <c r="K194" s="155"/>
    </row>
    <row r="195" spans="1:11" ht="26.25" customHeight="1">
      <c r="A195" s="96" t="s">
        <v>290</v>
      </c>
      <c r="B195" s="173" t="s">
        <v>256</v>
      </c>
      <c r="C195" s="13"/>
      <c r="D195" s="27">
        <v>71.099999999999994</v>
      </c>
      <c r="E195" s="119"/>
      <c r="F195" s="119">
        <f>F197</f>
        <v>47</v>
      </c>
      <c r="G195" s="63">
        <f t="shared" si="60"/>
        <v>47</v>
      </c>
      <c r="H195" s="146"/>
      <c r="K195" s="152"/>
    </row>
    <row r="196" spans="1:11" ht="18.75" customHeight="1">
      <c r="A196" s="113"/>
      <c r="B196" s="256" t="s">
        <v>72</v>
      </c>
      <c r="C196" s="13"/>
      <c r="D196" s="119"/>
      <c r="E196" s="119"/>
      <c r="F196" s="119"/>
      <c r="G196" s="63"/>
      <c r="H196" s="146"/>
      <c r="K196" s="152"/>
    </row>
    <row r="197" spans="1:11" ht="26.25" customHeight="1">
      <c r="A197" s="109" t="s">
        <v>291</v>
      </c>
      <c r="B197" s="129" t="s">
        <v>10</v>
      </c>
      <c r="C197" s="110">
        <v>1030</v>
      </c>
      <c r="D197" s="119">
        <v>71.099999999999994</v>
      </c>
      <c r="E197" s="119"/>
      <c r="F197" s="119">
        <f>F198</f>
        <v>47</v>
      </c>
      <c r="G197" s="63">
        <f t="shared" si="60"/>
        <v>47</v>
      </c>
      <c r="H197" s="146"/>
      <c r="K197" s="152"/>
    </row>
    <row r="198" spans="1:11" ht="23.25" customHeight="1">
      <c r="A198" s="113" t="s">
        <v>351</v>
      </c>
      <c r="B198" s="206" t="s">
        <v>257</v>
      </c>
      <c r="C198" s="121">
        <v>1035</v>
      </c>
      <c r="D198" s="119">
        <v>71.099999999999994</v>
      </c>
      <c r="E198" s="119"/>
      <c r="F198" s="119">
        <v>47</v>
      </c>
      <c r="G198" s="19">
        <f t="shared" si="60"/>
        <v>47</v>
      </c>
      <c r="H198" s="146"/>
      <c r="K198" s="152"/>
    </row>
    <row r="199" spans="1:11" ht="37.5">
      <c r="A199" s="96" t="s">
        <v>352</v>
      </c>
      <c r="B199" s="173" t="s">
        <v>204</v>
      </c>
      <c r="C199" s="9"/>
      <c r="D199" s="27">
        <f t="shared" ref="D199" si="65">SUM(D201,D203)</f>
        <v>12712.4</v>
      </c>
      <c r="E199" s="27">
        <f t="shared" ref="E199:F199" si="66">SUM(E201,E203)</f>
        <v>14700</v>
      </c>
      <c r="F199" s="27">
        <f t="shared" si="66"/>
        <v>16487.3</v>
      </c>
      <c r="G199" s="63">
        <f t="shared" si="60"/>
        <v>1787.2999999999993</v>
      </c>
      <c r="H199" s="63">
        <f t="shared" si="61"/>
        <v>112.15850340136053</v>
      </c>
    </row>
    <row r="200" spans="1:11" ht="23.25" customHeight="1">
      <c r="A200" s="96"/>
      <c r="B200" s="107" t="s">
        <v>72</v>
      </c>
      <c r="C200" s="9"/>
      <c r="D200" s="27"/>
      <c r="E200" s="27"/>
      <c r="F200" s="27"/>
      <c r="G200" s="63"/>
      <c r="H200" s="63"/>
    </row>
    <row r="201" spans="1:11" ht="38.25" customHeight="1">
      <c r="A201" s="109" t="s">
        <v>353</v>
      </c>
      <c r="B201" s="20" t="s">
        <v>76</v>
      </c>
      <c r="C201" s="110">
        <v>1010</v>
      </c>
      <c r="D201" s="111">
        <f>D202</f>
        <v>11855.4</v>
      </c>
      <c r="E201" s="111">
        <f>E202</f>
        <v>13000</v>
      </c>
      <c r="F201" s="111">
        <f>F202</f>
        <v>15436.8</v>
      </c>
      <c r="G201" s="112">
        <f t="shared" si="60"/>
        <v>2436.7999999999993</v>
      </c>
      <c r="H201" s="112">
        <f t="shared" si="61"/>
        <v>118.74461538461539</v>
      </c>
    </row>
    <row r="202" spans="1:11" ht="24.75" customHeight="1">
      <c r="A202" s="113" t="s">
        <v>357</v>
      </c>
      <c r="B202" s="107" t="s">
        <v>213</v>
      </c>
      <c r="C202" s="121">
        <v>1014</v>
      </c>
      <c r="D202" s="119">
        <v>11855.4</v>
      </c>
      <c r="E202" s="119">
        <v>13000</v>
      </c>
      <c r="F202" s="119">
        <v>15436.8</v>
      </c>
      <c r="G202" s="122">
        <f t="shared" si="60"/>
        <v>2436.7999999999993</v>
      </c>
      <c r="H202" s="122">
        <f t="shared" si="61"/>
        <v>118.74461538461539</v>
      </c>
    </row>
    <row r="203" spans="1:11" ht="26.25" customHeight="1">
      <c r="A203" s="109" t="s">
        <v>354</v>
      </c>
      <c r="B203" s="129" t="s">
        <v>10</v>
      </c>
      <c r="C203" s="110">
        <v>1030</v>
      </c>
      <c r="D203" s="111">
        <f t="shared" ref="D203:F203" si="67">SUM(D204)</f>
        <v>857</v>
      </c>
      <c r="E203" s="111">
        <f t="shared" si="67"/>
        <v>1700</v>
      </c>
      <c r="F203" s="111">
        <f t="shared" si="67"/>
        <v>1050.5</v>
      </c>
      <c r="G203" s="112">
        <f t="shared" si="60"/>
        <v>-649.5</v>
      </c>
      <c r="H203" s="112">
        <f t="shared" si="61"/>
        <v>61.794117647058819</v>
      </c>
    </row>
    <row r="204" spans="1:11" ht="24" customHeight="1">
      <c r="A204" s="113" t="s">
        <v>358</v>
      </c>
      <c r="B204" s="107" t="s">
        <v>216</v>
      </c>
      <c r="C204" s="121">
        <v>1034</v>
      </c>
      <c r="D204" s="119">
        <v>857</v>
      </c>
      <c r="E204" s="119">
        <v>1700</v>
      </c>
      <c r="F204" s="119">
        <v>1050.5</v>
      </c>
      <c r="G204" s="122">
        <f t="shared" si="60"/>
        <v>-649.5</v>
      </c>
      <c r="H204" s="122">
        <f t="shared" si="61"/>
        <v>61.794117647058819</v>
      </c>
    </row>
    <row r="205" spans="1:11" ht="141" customHeight="1">
      <c r="B205" s="308" t="s">
        <v>132</v>
      </c>
      <c r="C205" s="308"/>
      <c r="D205" s="309"/>
      <c r="E205" s="309"/>
      <c r="F205" s="137"/>
      <c r="G205" s="310" t="s">
        <v>246</v>
      </c>
      <c r="H205" s="310"/>
    </row>
    <row r="206" spans="1:11">
      <c r="B206" s="226" t="s">
        <v>54</v>
      </c>
      <c r="C206" s="102"/>
      <c r="D206" s="305" t="s">
        <v>9</v>
      </c>
      <c r="E206" s="305"/>
      <c r="F206" s="138"/>
      <c r="G206" s="306" t="s">
        <v>14</v>
      </c>
      <c r="H206" s="306"/>
    </row>
    <row r="207" spans="1:11">
      <c r="B207" s="102"/>
    </row>
    <row r="208" spans="1:11">
      <c r="B208" s="102"/>
      <c r="C208" s="97"/>
      <c r="D208" s="179"/>
      <c r="E208" s="213"/>
      <c r="F208" s="97"/>
    </row>
    <row r="209" spans="2:6">
      <c r="B209" s="102"/>
      <c r="C209" s="97"/>
      <c r="D209" s="179"/>
      <c r="E209" s="213"/>
      <c r="F209" s="97"/>
    </row>
    <row r="210" spans="2:6">
      <c r="B210" s="102"/>
      <c r="C210" s="97"/>
      <c r="D210" s="179"/>
      <c r="E210" s="213"/>
      <c r="F210" s="97"/>
    </row>
    <row r="211" spans="2:6">
      <c r="B211" s="102"/>
      <c r="C211" s="97"/>
      <c r="D211" s="179"/>
      <c r="E211" s="213"/>
      <c r="F211" s="97"/>
    </row>
    <row r="212" spans="2:6">
      <c r="B212" s="102"/>
      <c r="C212" s="97"/>
      <c r="D212" s="179"/>
      <c r="E212" s="213"/>
      <c r="F212" s="97"/>
    </row>
    <row r="213" spans="2:6">
      <c r="B213" s="102"/>
      <c r="C213" s="97"/>
      <c r="D213" s="179"/>
      <c r="E213" s="213"/>
      <c r="F213" s="97"/>
    </row>
    <row r="214" spans="2:6">
      <c r="B214" s="102"/>
      <c r="C214" s="97"/>
      <c r="D214" s="179"/>
      <c r="E214" s="213"/>
      <c r="F214" s="97"/>
    </row>
    <row r="215" spans="2:6">
      <c r="B215" s="102"/>
      <c r="C215" s="97"/>
      <c r="D215" s="179"/>
      <c r="E215" s="213"/>
      <c r="F215" s="97"/>
    </row>
    <row r="216" spans="2:6">
      <c r="B216" s="102"/>
      <c r="C216" s="97"/>
      <c r="D216" s="179"/>
      <c r="E216" s="213"/>
      <c r="F216" s="97"/>
    </row>
    <row r="217" spans="2:6">
      <c r="B217" s="102"/>
      <c r="C217" s="97"/>
      <c r="D217" s="179"/>
      <c r="E217" s="213"/>
      <c r="F217" s="97"/>
    </row>
    <row r="218" spans="2:6">
      <c r="B218" s="102"/>
      <c r="C218" s="97"/>
      <c r="D218" s="179"/>
      <c r="E218" s="213"/>
      <c r="F218" s="97"/>
    </row>
    <row r="219" spans="2:6">
      <c r="B219" s="102"/>
      <c r="C219" s="97"/>
      <c r="D219" s="179"/>
      <c r="E219" s="213"/>
      <c r="F219" s="97"/>
    </row>
    <row r="220" spans="2:6">
      <c r="B220" s="102"/>
      <c r="C220" s="97"/>
      <c r="D220" s="179"/>
      <c r="E220" s="213"/>
      <c r="F220" s="97"/>
    </row>
    <row r="221" spans="2:6">
      <c r="B221" s="102"/>
      <c r="C221" s="97"/>
      <c r="D221" s="179"/>
      <c r="E221" s="213"/>
      <c r="F221" s="97"/>
    </row>
    <row r="222" spans="2:6">
      <c r="B222" s="102"/>
      <c r="C222" s="97"/>
      <c r="D222" s="179"/>
      <c r="E222" s="213"/>
      <c r="F222" s="97"/>
    </row>
    <row r="223" spans="2:6">
      <c r="B223" s="102"/>
      <c r="C223" s="97"/>
      <c r="D223" s="179"/>
      <c r="E223" s="213"/>
      <c r="F223" s="97"/>
    </row>
    <row r="224" spans="2:6">
      <c r="B224" s="102"/>
      <c r="C224" s="97"/>
      <c r="D224" s="179"/>
      <c r="E224" s="213"/>
      <c r="F224" s="97"/>
    </row>
    <row r="225" spans="2:6">
      <c r="B225" s="102"/>
      <c r="C225" s="97"/>
      <c r="D225" s="179"/>
      <c r="E225" s="213"/>
      <c r="F225" s="97"/>
    </row>
    <row r="226" spans="2:6">
      <c r="B226" s="102"/>
      <c r="C226" s="97"/>
      <c r="D226" s="179"/>
      <c r="E226" s="213"/>
      <c r="F226" s="97"/>
    </row>
    <row r="227" spans="2:6">
      <c r="B227" s="102"/>
      <c r="C227" s="97"/>
      <c r="D227" s="179"/>
      <c r="E227" s="213"/>
      <c r="F227" s="97"/>
    </row>
    <row r="228" spans="2:6">
      <c r="B228" s="102"/>
      <c r="C228" s="97"/>
      <c r="D228" s="179"/>
      <c r="E228" s="213"/>
      <c r="F228" s="97"/>
    </row>
    <row r="229" spans="2:6">
      <c r="B229" s="102"/>
      <c r="C229" s="97"/>
      <c r="D229" s="179"/>
      <c r="E229" s="213"/>
      <c r="F229" s="97"/>
    </row>
    <row r="230" spans="2:6">
      <c r="B230" s="102"/>
      <c r="C230" s="97"/>
      <c r="D230" s="179"/>
      <c r="E230" s="213"/>
      <c r="F230" s="97"/>
    </row>
    <row r="231" spans="2:6">
      <c r="B231" s="102"/>
      <c r="C231" s="97"/>
      <c r="D231" s="179"/>
      <c r="E231" s="213"/>
      <c r="F231" s="97"/>
    </row>
    <row r="232" spans="2:6">
      <c r="B232" s="102"/>
      <c r="C232" s="97"/>
      <c r="D232" s="179"/>
      <c r="E232" s="213"/>
      <c r="F232" s="97"/>
    </row>
    <row r="233" spans="2:6">
      <c r="B233" s="102"/>
      <c r="C233" s="97"/>
      <c r="D233" s="179"/>
      <c r="E233" s="213"/>
      <c r="F233" s="97"/>
    </row>
    <row r="234" spans="2:6">
      <c r="B234" s="102"/>
      <c r="C234" s="97"/>
      <c r="D234" s="179"/>
      <c r="E234" s="213"/>
      <c r="F234" s="97"/>
    </row>
    <row r="235" spans="2:6">
      <c r="B235" s="102"/>
      <c r="C235" s="97"/>
      <c r="D235" s="179"/>
      <c r="E235" s="213"/>
      <c r="F235" s="97"/>
    </row>
    <row r="236" spans="2:6">
      <c r="B236" s="102"/>
      <c r="C236" s="97"/>
      <c r="D236" s="179"/>
      <c r="E236" s="213"/>
      <c r="F236" s="97"/>
    </row>
    <row r="237" spans="2:6">
      <c r="B237" s="102"/>
      <c r="C237" s="97"/>
      <c r="D237" s="179"/>
      <c r="E237" s="213"/>
      <c r="F237" s="97"/>
    </row>
    <row r="238" spans="2:6">
      <c r="B238" s="102"/>
      <c r="C238" s="97"/>
      <c r="D238" s="179"/>
      <c r="E238" s="213"/>
      <c r="F238" s="97"/>
    </row>
    <row r="239" spans="2:6">
      <c r="B239" s="102"/>
      <c r="C239" s="97"/>
      <c r="D239" s="179"/>
      <c r="E239" s="213"/>
      <c r="F239" s="97"/>
    </row>
    <row r="240" spans="2:6">
      <c r="B240" s="102"/>
      <c r="C240" s="97"/>
      <c r="D240" s="179"/>
      <c r="E240" s="213"/>
      <c r="F240" s="97"/>
    </row>
  </sheetData>
  <mergeCells count="7">
    <mergeCell ref="D206:E206"/>
    <mergeCell ref="G206:H206"/>
    <mergeCell ref="B1:H1"/>
    <mergeCell ref="A5:B5"/>
    <mergeCell ref="B205:C205"/>
    <mergeCell ref="D205:E205"/>
    <mergeCell ref="G205:H205"/>
  </mergeCells>
  <pageMargins left="0.39370078740157483" right="0.39370078740157483" top="0.78740157480314965" bottom="0.39370078740157483" header="0.39370078740157483" footer="0.19685039370078741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</sheetPr>
  <dimension ref="A1:G64"/>
  <sheetViews>
    <sheetView view="pageBreakPreview" topLeftCell="A16" zoomScaleSheetLayoutView="100" workbookViewId="0">
      <selection activeCell="A33" sqref="A33:B33"/>
    </sheetView>
  </sheetViews>
  <sheetFormatPr defaultRowHeight="18.75"/>
  <cols>
    <col min="1" max="1" width="76.42578125" style="5" customWidth="1"/>
    <col min="2" max="2" width="10.140625" style="61" customWidth="1"/>
    <col min="3" max="3" width="14.7109375" style="207" customWidth="1"/>
    <col min="4" max="4" width="14.28515625" style="212" customWidth="1"/>
    <col min="5" max="5" width="14.140625" style="30" customWidth="1"/>
    <col min="6" max="6" width="14.28515625" style="61" customWidth="1"/>
    <col min="7" max="7" width="14" style="61" customWidth="1"/>
    <col min="8" max="16384" width="9.140625" style="5"/>
  </cols>
  <sheetData>
    <row r="1" spans="1:7" ht="19.5" customHeight="1">
      <c r="A1" s="293" t="s">
        <v>85</v>
      </c>
      <c r="B1" s="293"/>
      <c r="C1" s="293"/>
      <c r="D1" s="293"/>
      <c r="E1" s="293"/>
      <c r="F1" s="293"/>
    </row>
    <row r="2" spans="1:7" ht="15" customHeight="1">
      <c r="A2" s="223"/>
      <c r="B2" s="222"/>
      <c r="C2" s="257"/>
      <c r="D2" s="227"/>
      <c r="E2" s="227"/>
      <c r="F2" s="222"/>
      <c r="G2" s="24" t="s">
        <v>59</v>
      </c>
    </row>
    <row r="3" spans="1:7" ht="87.75" customHeight="1">
      <c r="A3" s="48" t="s">
        <v>20</v>
      </c>
      <c r="B3" s="11" t="s">
        <v>4</v>
      </c>
      <c r="C3" s="11" t="s">
        <v>326</v>
      </c>
      <c r="D3" s="10" t="s">
        <v>327</v>
      </c>
      <c r="E3" s="11" t="s">
        <v>328</v>
      </c>
      <c r="F3" s="100" t="s">
        <v>95</v>
      </c>
      <c r="G3" s="11" t="s">
        <v>96</v>
      </c>
    </row>
    <row r="4" spans="1:7" s="14" customFormat="1" ht="21" customHeight="1">
      <c r="A4" s="48">
        <v>1</v>
      </c>
      <c r="B4" s="39">
        <v>2</v>
      </c>
      <c r="C4" s="258">
        <v>3</v>
      </c>
      <c r="D4" s="17">
        <v>4</v>
      </c>
      <c r="E4" s="17">
        <v>5</v>
      </c>
      <c r="F4" s="39">
        <v>6</v>
      </c>
      <c r="G4" s="15">
        <v>7</v>
      </c>
    </row>
    <row r="5" spans="1:7" ht="32.25" customHeight="1">
      <c r="A5" s="32" t="s">
        <v>214</v>
      </c>
      <c r="B5" s="13">
        <v>4000</v>
      </c>
      <c r="C5" s="49">
        <f>C6+C25+C27</f>
        <v>7878.5</v>
      </c>
      <c r="D5" s="49">
        <f>D6+D25+D27</f>
        <v>1700</v>
      </c>
      <c r="E5" s="49">
        <f>E6+E25+E27</f>
        <v>6744.3000000000011</v>
      </c>
      <c r="F5" s="50">
        <f t="shared" ref="F5:F6" si="0">E5-D5</f>
        <v>5044.3000000000011</v>
      </c>
      <c r="G5" s="164">
        <f>(E5/D5)*100</f>
        <v>396.72352941176479</v>
      </c>
    </row>
    <row r="6" spans="1:7" ht="24.75" customHeight="1">
      <c r="A6" s="20" t="s">
        <v>152</v>
      </c>
      <c r="B6" s="167">
        <v>4020</v>
      </c>
      <c r="C6" s="169">
        <f>SUM(C7:C15)</f>
        <v>6489.7999999999993</v>
      </c>
      <c r="D6" s="169">
        <f>SUM(D7:D15)</f>
        <v>0</v>
      </c>
      <c r="E6" s="169">
        <f>SUM(E7:E24)</f>
        <v>4588.2000000000007</v>
      </c>
      <c r="F6" s="170">
        <f t="shared" si="0"/>
        <v>4588.2000000000007</v>
      </c>
      <c r="G6" s="165" t="e">
        <f t="shared" ref="G6" si="1">(E6/D6)*100</f>
        <v>#DIV/0!</v>
      </c>
    </row>
    <row r="7" spans="1:7" ht="23.25" customHeight="1">
      <c r="A7" s="16" t="s">
        <v>258</v>
      </c>
      <c r="B7" s="21"/>
      <c r="C7" s="19">
        <v>96</v>
      </c>
      <c r="D7" s="19"/>
      <c r="E7" s="19"/>
      <c r="F7" s="12">
        <f>E7-D7</f>
        <v>0</v>
      </c>
      <c r="G7" s="93" t="e">
        <f>E7/D7*100</f>
        <v>#DIV/0!</v>
      </c>
    </row>
    <row r="8" spans="1:7" ht="43.5" customHeight="1">
      <c r="A8" s="16" t="s">
        <v>259</v>
      </c>
      <c r="B8" s="21"/>
      <c r="C8" s="19">
        <v>237.9</v>
      </c>
      <c r="D8" s="19"/>
      <c r="E8" s="19"/>
      <c r="F8" s="12">
        <f t="shared" ref="F8:F10" si="2">E8-D8</f>
        <v>0</v>
      </c>
      <c r="G8" s="93" t="e">
        <f t="shared" ref="G8:G9" si="3">E8/D8*100</f>
        <v>#DIV/0!</v>
      </c>
    </row>
    <row r="9" spans="1:7" ht="26.25" customHeight="1">
      <c r="A9" s="16" t="s">
        <v>260</v>
      </c>
      <c r="B9" s="21"/>
      <c r="C9" s="19">
        <v>24.8</v>
      </c>
      <c r="D9" s="19"/>
      <c r="E9" s="19"/>
      <c r="F9" s="12">
        <f t="shared" si="2"/>
        <v>0</v>
      </c>
      <c r="G9" s="93" t="e">
        <f t="shared" si="3"/>
        <v>#DIV/0!</v>
      </c>
    </row>
    <row r="10" spans="1:7" ht="27" customHeight="1">
      <c r="A10" s="16" t="s">
        <v>261</v>
      </c>
      <c r="B10" s="21"/>
      <c r="C10" s="19">
        <v>26.9</v>
      </c>
      <c r="D10" s="19"/>
      <c r="E10" s="19"/>
      <c r="F10" s="12">
        <f t="shared" si="2"/>
        <v>0</v>
      </c>
      <c r="G10" s="93"/>
    </row>
    <row r="11" spans="1:7" ht="27" customHeight="1">
      <c r="A11" s="259" t="s">
        <v>359</v>
      </c>
      <c r="B11" s="21"/>
      <c r="C11" s="19">
        <v>1648.2</v>
      </c>
      <c r="D11" s="19"/>
      <c r="E11" s="19"/>
      <c r="F11" s="12"/>
      <c r="G11" s="93"/>
    </row>
    <row r="12" spans="1:7" ht="27" customHeight="1">
      <c r="A12" s="259" t="s">
        <v>360</v>
      </c>
      <c r="B12" s="21"/>
      <c r="C12" s="19">
        <v>51.1</v>
      </c>
      <c r="D12" s="19"/>
      <c r="E12" s="19"/>
      <c r="F12" s="12"/>
      <c r="G12" s="93"/>
    </row>
    <row r="13" spans="1:7" ht="27" customHeight="1">
      <c r="A13" s="259" t="s">
        <v>361</v>
      </c>
      <c r="B13" s="21"/>
      <c r="C13" s="19">
        <v>167</v>
      </c>
      <c r="D13" s="19"/>
      <c r="E13" s="19"/>
      <c r="F13" s="12"/>
      <c r="G13" s="93"/>
    </row>
    <row r="14" spans="1:7" ht="27" customHeight="1">
      <c r="A14" s="259" t="s">
        <v>362</v>
      </c>
      <c r="B14" s="21"/>
      <c r="C14" s="19">
        <v>4204</v>
      </c>
      <c r="D14" s="19"/>
      <c r="E14" s="19"/>
      <c r="F14" s="12"/>
      <c r="G14" s="93"/>
    </row>
    <row r="15" spans="1:7" ht="26.25" customHeight="1">
      <c r="A15" s="260" t="s">
        <v>363</v>
      </c>
      <c r="B15" s="21"/>
      <c r="C15" s="19">
        <v>33.9</v>
      </c>
      <c r="D15" s="19"/>
      <c r="E15" s="19"/>
      <c r="F15" s="12"/>
      <c r="G15" s="33"/>
    </row>
    <row r="16" spans="1:7" ht="26.25" customHeight="1">
      <c r="A16" s="28" t="s">
        <v>314</v>
      </c>
      <c r="B16" s="21"/>
      <c r="C16" s="19"/>
      <c r="D16" s="19"/>
      <c r="E16" s="19">
        <v>556</v>
      </c>
      <c r="F16" s="12"/>
      <c r="G16" s="33"/>
    </row>
    <row r="17" spans="1:7" ht="26.25" customHeight="1">
      <c r="A17" s="28" t="s">
        <v>315</v>
      </c>
      <c r="B17" s="21"/>
      <c r="C17" s="19"/>
      <c r="D17" s="19"/>
      <c r="E17" s="19">
        <v>439</v>
      </c>
      <c r="F17" s="12"/>
      <c r="G17" s="33"/>
    </row>
    <row r="18" spans="1:7" ht="26.25" customHeight="1">
      <c r="A18" s="28" t="s">
        <v>321</v>
      </c>
      <c r="B18" s="21"/>
      <c r="C18" s="19"/>
      <c r="D18" s="19"/>
      <c r="E18" s="19">
        <v>20.399999999999999</v>
      </c>
      <c r="F18" s="12"/>
      <c r="G18" s="33"/>
    </row>
    <row r="19" spans="1:7" ht="26.25" customHeight="1">
      <c r="A19" s="28" t="s">
        <v>316</v>
      </c>
      <c r="B19" s="21"/>
      <c r="C19" s="19"/>
      <c r="D19" s="19"/>
      <c r="E19" s="19">
        <v>2940</v>
      </c>
      <c r="F19" s="12"/>
      <c r="G19" s="33"/>
    </row>
    <row r="20" spans="1:7" ht="26.25" customHeight="1">
      <c r="A20" s="28" t="s">
        <v>317</v>
      </c>
      <c r="B20" s="21"/>
      <c r="C20" s="19"/>
      <c r="D20" s="19"/>
      <c r="E20" s="19">
        <v>186.5</v>
      </c>
      <c r="F20" s="12"/>
      <c r="G20" s="33"/>
    </row>
    <row r="21" spans="1:7" ht="26.25" customHeight="1">
      <c r="A21" s="28" t="s">
        <v>318</v>
      </c>
      <c r="B21" s="21"/>
      <c r="C21" s="19"/>
      <c r="D21" s="19"/>
      <c r="E21" s="19">
        <v>68.099999999999994</v>
      </c>
      <c r="F21" s="12"/>
      <c r="G21" s="33"/>
    </row>
    <row r="22" spans="1:7" ht="26.25" customHeight="1">
      <c r="A22" s="28" t="s">
        <v>319</v>
      </c>
      <c r="B22" s="21"/>
      <c r="C22" s="19"/>
      <c r="D22" s="19"/>
      <c r="E22" s="19">
        <v>91.6</v>
      </c>
      <c r="F22" s="12"/>
      <c r="G22" s="33"/>
    </row>
    <row r="23" spans="1:7" ht="26.25" customHeight="1">
      <c r="A23" s="28" t="s">
        <v>320</v>
      </c>
      <c r="B23" s="21"/>
      <c r="C23" s="19"/>
      <c r="D23" s="19"/>
      <c r="E23" s="19">
        <v>239.6</v>
      </c>
      <c r="F23" s="12"/>
      <c r="G23" s="33"/>
    </row>
    <row r="24" spans="1:7" ht="26.25" customHeight="1">
      <c r="A24" s="28" t="s">
        <v>372</v>
      </c>
      <c r="B24" s="21"/>
      <c r="C24" s="19"/>
      <c r="D24" s="19"/>
      <c r="E24" s="19">
        <v>47</v>
      </c>
      <c r="F24" s="12"/>
      <c r="G24" s="33"/>
    </row>
    <row r="25" spans="1:7" ht="46.5" customHeight="1">
      <c r="A25" s="20" t="s">
        <v>57</v>
      </c>
      <c r="B25" s="167">
        <v>4050</v>
      </c>
      <c r="C25" s="112">
        <v>65.099999999999994</v>
      </c>
      <c r="D25" s="122"/>
      <c r="E25" s="112">
        <v>135</v>
      </c>
      <c r="F25" s="161">
        <f t="shared" ref="F25" si="4">E25-D25</f>
        <v>135</v>
      </c>
      <c r="G25" s="168" t="e">
        <f t="shared" ref="G25:G28" si="5">E25/D25*100</f>
        <v>#DIV/0!</v>
      </c>
    </row>
    <row r="26" spans="1:7" ht="38.25" customHeight="1">
      <c r="A26" s="261" t="s">
        <v>364</v>
      </c>
      <c r="B26" s="167"/>
      <c r="C26" s="19">
        <v>65.099999999999994</v>
      </c>
      <c r="D26" s="122"/>
      <c r="E26" s="112">
        <v>135</v>
      </c>
      <c r="F26" s="161"/>
      <c r="G26" s="168"/>
    </row>
    <row r="27" spans="1:7" ht="24.75" customHeight="1">
      <c r="A27" s="162" t="s">
        <v>262</v>
      </c>
      <c r="B27" s="139">
        <v>4060</v>
      </c>
      <c r="C27" s="163">
        <f>C28+C29+C30</f>
        <v>1323.6</v>
      </c>
      <c r="D27" s="163">
        <f>D28+D29+D30+D31</f>
        <v>1700</v>
      </c>
      <c r="E27" s="163">
        <f>E28+E31+E32</f>
        <v>2021.1</v>
      </c>
      <c r="F27" s="161">
        <f t="shared" ref="F27:F28" si="6">E27-D27</f>
        <v>321.09999999999991</v>
      </c>
      <c r="G27" s="166">
        <f t="shared" si="5"/>
        <v>118.88823529411765</v>
      </c>
    </row>
    <row r="28" spans="1:7" ht="39.75" customHeight="1">
      <c r="A28" s="135" t="s">
        <v>263</v>
      </c>
      <c r="B28" s="11"/>
      <c r="C28" s="19">
        <v>1126.5</v>
      </c>
      <c r="D28" s="19"/>
      <c r="E28" s="19"/>
      <c r="F28" s="12">
        <f t="shared" si="6"/>
        <v>0</v>
      </c>
      <c r="G28" s="33" t="e">
        <f t="shared" si="5"/>
        <v>#DIV/0!</v>
      </c>
    </row>
    <row r="29" spans="1:7" ht="21" customHeight="1">
      <c r="A29" s="135" t="s">
        <v>365</v>
      </c>
      <c r="B29" s="11"/>
      <c r="C29" s="19">
        <v>177.5</v>
      </c>
      <c r="D29" s="19"/>
      <c r="E29" s="19"/>
      <c r="F29" s="12"/>
      <c r="G29" s="33"/>
    </row>
    <row r="30" spans="1:7" ht="21.75" customHeight="1">
      <c r="A30" s="261" t="s">
        <v>366</v>
      </c>
      <c r="B30" s="11"/>
      <c r="C30" s="19">
        <v>19.600000000000001</v>
      </c>
      <c r="D30" s="19"/>
      <c r="E30" s="19"/>
      <c r="F30" s="12"/>
      <c r="G30" s="33"/>
    </row>
    <row r="31" spans="1:7" ht="39.75" customHeight="1">
      <c r="A31" s="135" t="s">
        <v>322</v>
      </c>
      <c r="B31" s="11"/>
      <c r="C31" s="19"/>
      <c r="D31" s="19">
        <v>1700</v>
      </c>
      <c r="E31" s="19">
        <v>1999.6</v>
      </c>
      <c r="F31" s="12"/>
      <c r="G31" s="33"/>
    </row>
    <row r="32" spans="1:7" ht="39.75" customHeight="1">
      <c r="A32" s="135" t="s">
        <v>373</v>
      </c>
      <c r="B32" s="11"/>
      <c r="C32" s="19"/>
      <c r="D32" s="19"/>
      <c r="E32" s="19">
        <f>14.8+6.7</f>
        <v>21.5</v>
      </c>
      <c r="F32" s="12"/>
      <c r="G32" s="33"/>
    </row>
    <row r="33" spans="1:7" ht="77.25" customHeight="1">
      <c r="A33" s="296" t="s">
        <v>132</v>
      </c>
      <c r="B33" s="296"/>
      <c r="C33" s="262"/>
      <c r="D33" s="263"/>
      <c r="E33" s="90"/>
      <c r="F33" s="91" t="s">
        <v>246</v>
      </c>
      <c r="G33" s="92"/>
    </row>
    <row r="34" spans="1:7" s="14" customFormat="1" ht="16.5" customHeight="1">
      <c r="A34" s="25" t="s">
        <v>8</v>
      </c>
      <c r="B34" s="228"/>
      <c r="C34" s="311" t="s">
        <v>9</v>
      </c>
      <c r="D34" s="311"/>
      <c r="E34" s="312" t="s">
        <v>14</v>
      </c>
      <c r="F34" s="312"/>
      <c r="G34" s="312"/>
    </row>
    <row r="35" spans="1:7">
      <c r="A35" s="6"/>
    </row>
    <row r="36" spans="1:7">
      <c r="A36" s="6"/>
    </row>
    <row r="37" spans="1:7">
      <c r="A37" s="6"/>
    </row>
    <row r="38" spans="1:7">
      <c r="A38" s="6"/>
    </row>
    <row r="39" spans="1:7">
      <c r="A39" s="6"/>
    </row>
    <row r="40" spans="1:7">
      <c r="A40" s="6"/>
    </row>
    <row r="41" spans="1:7">
      <c r="A41" s="6"/>
    </row>
    <row r="42" spans="1:7">
      <c r="A42" s="6"/>
    </row>
    <row r="43" spans="1:7">
      <c r="A43" s="6"/>
    </row>
    <row r="44" spans="1:7">
      <c r="A44" s="6"/>
    </row>
    <row r="45" spans="1:7">
      <c r="A45" s="6"/>
    </row>
    <row r="46" spans="1:7">
      <c r="A46" s="6"/>
    </row>
    <row r="47" spans="1:7">
      <c r="A47" s="6"/>
    </row>
    <row r="48" spans="1:7">
      <c r="A48" s="6"/>
    </row>
    <row r="49" spans="1:1">
      <c r="A49" s="6"/>
    </row>
    <row r="50" spans="1:1">
      <c r="A50" s="6"/>
    </row>
    <row r="51" spans="1:1">
      <c r="A51" s="6"/>
    </row>
    <row r="52" spans="1:1">
      <c r="A52" s="6"/>
    </row>
    <row r="53" spans="1:1">
      <c r="A53" s="6"/>
    </row>
    <row r="54" spans="1:1">
      <c r="A54" s="6"/>
    </row>
    <row r="55" spans="1:1">
      <c r="A55" s="6"/>
    </row>
    <row r="56" spans="1:1">
      <c r="A56" s="6"/>
    </row>
    <row r="57" spans="1:1">
      <c r="A57" s="6"/>
    </row>
    <row r="58" spans="1:1">
      <c r="A58" s="6"/>
    </row>
    <row r="59" spans="1:1">
      <c r="A59" s="6"/>
    </row>
    <row r="60" spans="1:1">
      <c r="A60" s="6"/>
    </row>
    <row r="61" spans="1:1">
      <c r="A61" s="6"/>
    </row>
    <row r="62" spans="1:1">
      <c r="A62" s="6"/>
    </row>
    <row r="63" spans="1:1">
      <c r="A63" s="6"/>
    </row>
    <row r="64" spans="1:1">
      <c r="A64" s="6"/>
    </row>
  </sheetData>
  <mergeCells count="4">
    <mergeCell ref="A1:F1"/>
    <mergeCell ref="A33:B33"/>
    <mergeCell ref="C34:D34"/>
    <mergeCell ref="E34:G34"/>
  </mergeCells>
  <printOptions horizontalCentered="1"/>
  <pageMargins left="0.39370078740157483" right="0.39370078740157483" top="0.59055118110236227" bottom="0.39370078740157483" header="0.19685039370078741" footer="0.19685039370078741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99"/>
  </sheetPr>
  <dimension ref="A1:N28"/>
  <sheetViews>
    <sheetView view="pageBreakPreview" zoomScale="87" zoomScaleNormal="60" zoomScaleSheetLayoutView="87" workbookViewId="0">
      <selection activeCell="H18" sqref="H18"/>
    </sheetView>
  </sheetViews>
  <sheetFormatPr defaultRowHeight="20.25"/>
  <cols>
    <col min="1" max="1" width="5.42578125" style="36" customWidth="1"/>
    <col min="2" max="2" width="36.28515625" style="36" customWidth="1"/>
    <col min="3" max="3" width="14.28515625" style="36" customWidth="1"/>
    <col min="4" max="4" width="13.7109375" style="36" customWidth="1"/>
    <col min="5" max="5" width="14" style="36" customWidth="1"/>
    <col min="6" max="6" width="14.5703125" style="36" customWidth="1"/>
    <col min="7" max="7" width="14" style="36" customWidth="1"/>
    <col min="8" max="8" width="13.5703125" style="36" customWidth="1"/>
    <col min="9" max="9" width="13.7109375" style="36" customWidth="1"/>
    <col min="10" max="10" width="13.42578125" style="36" customWidth="1"/>
    <col min="11" max="11" width="13.5703125" style="36" customWidth="1"/>
    <col min="12" max="12" width="13.140625" style="36" customWidth="1"/>
    <col min="13" max="13" width="12.28515625" style="36" customWidth="1"/>
    <col min="14" max="14" width="13.42578125" style="36" customWidth="1"/>
    <col min="15" max="16" width="9.140625" style="3"/>
    <col min="17" max="19" width="9.140625" style="3" customWidth="1"/>
    <col min="20" max="16384" width="9.140625" style="3"/>
  </cols>
  <sheetData>
    <row r="1" spans="1:14" s="7" customFormat="1" ht="32.25" customHeight="1">
      <c r="A1" s="264" t="s">
        <v>138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37"/>
    </row>
    <row r="2" spans="1:14">
      <c r="A2" s="56"/>
      <c r="B2" s="56"/>
      <c r="C2" s="38"/>
      <c r="D2" s="38"/>
      <c r="E2" s="38"/>
      <c r="F2" s="38"/>
      <c r="N2" s="57" t="s">
        <v>45</v>
      </c>
    </row>
    <row r="3" spans="1:14" ht="60" customHeight="1">
      <c r="A3" s="316" t="s">
        <v>6</v>
      </c>
      <c r="B3" s="323" t="s">
        <v>17</v>
      </c>
      <c r="C3" s="318" t="s">
        <v>104</v>
      </c>
      <c r="D3" s="319"/>
      <c r="E3" s="318" t="s">
        <v>207</v>
      </c>
      <c r="F3" s="319"/>
      <c r="G3" s="318" t="s">
        <v>323</v>
      </c>
      <c r="H3" s="319"/>
      <c r="I3" s="318" t="s">
        <v>208</v>
      </c>
      <c r="J3" s="319"/>
      <c r="K3" s="318" t="s">
        <v>105</v>
      </c>
      <c r="L3" s="319"/>
      <c r="M3" s="319"/>
      <c r="N3" s="320"/>
    </row>
    <row r="4" spans="1:14" ht="81" customHeight="1">
      <c r="A4" s="317"/>
      <c r="B4" s="324"/>
      <c r="C4" s="10" t="s">
        <v>327</v>
      </c>
      <c r="D4" s="11" t="s">
        <v>328</v>
      </c>
      <c r="E4" s="10" t="s">
        <v>327</v>
      </c>
      <c r="F4" s="11" t="s">
        <v>328</v>
      </c>
      <c r="G4" s="10" t="s">
        <v>327</v>
      </c>
      <c r="H4" s="11" t="s">
        <v>328</v>
      </c>
      <c r="I4" s="10" t="s">
        <v>327</v>
      </c>
      <c r="J4" s="11" t="s">
        <v>328</v>
      </c>
      <c r="K4" s="10" t="s">
        <v>327</v>
      </c>
      <c r="L4" s="11" t="s">
        <v>328</v>
      </c>
      <c r="M4" s="39" t="s">
        <v>92</v>
      </c>
      <c r="N4" s="39" t="s">
        <v>94</v>
      </c>
    </row>
    <row r="5" spans="1:14" ht="16.5" customHeight="1">
      <c r="A5" s="39">
        <v>1</v>
      </c>
      <c r="B5" s="229">
        <v>2</v>
      </c>
      <c r="C5" s="15">
        <v>3</v>
      </c>
      <c r="D5" s="39">
        <v>4</v>
      </c>
      <c r="E5" s="15">
        <v>5</v>
      </c>
      <c r="F5" s="39">
        <v>6</v>
      </c>
      <c r="G5" s="15">
        <v>7</v>
      </c>
      <c r="H5" s="39">
        <v>8</v>
      </c>
      <c r="I5" s="15">
        <v>9</v>
      </c>
      <c r="J5" s="15">
        <v>10</v>
      </c>
      <c r="K5" s="15">
        <v>11</v>
      </c>
      <c r="L5" s="15">
        <v>12</v>
      </c>
      <c r="M5" s="15">
        <v>13</v>
      </c>
      <c r="N5" s="15">
        <v>14</v>
      </c>
    </row>
    <row r="6" spans="1:14" ht="58.5" customHeight="1">
      <c r="A6" s="156">
        <v>1</v>
      </c>
      <c r="B6" s="140" t="s">
        <v>264</v>
      </c>
      <c r="C6" s="40"/>
      <c r="D6" s="40"/>
      <c r="E6" s="40"/>
      <c r="F6" s="40"/>
      <c r="G6" s="40"/>
      <c r="H6" s="40">
        <f>SUM(H7:H14)</f>
        <v>3546.2</v>
      </c>
      <c r="I6" s="40">
        <f>I11+I12+I13+I14</f>
        <v>0</v>
      </c>
      <c r="J6" s="40">
        <f>SUM(J7:J15)</f>
        <v>1042</v>
      </c>
      <c r="K6" s="40">
        <f>C6+E6+G6+I6</f>
        <v>0</v>
      </c>
      <c r="L6" s="40">
        <f>D6+F6+H6+J6</f>
        <v>4588.2</v>
      </c>
      <c r="M6" s="40">
        <f>K6-L6</f>
        <v>-4588.2</v>
      </c>
      <c r="N6" s="40" t="e">
        <f>L6/K6*100</f>
        <v>#DIV/0!</v>
      </c>
    </row>
    <row r="7" spans="1:14" ht="58.5" customHeight="1">
      <c r="A7" s="156"/>
      <c r="B7" s="28" t="s">
        <v>314</v>
      </c>
      <c r="C7" s="40"/>
      <c r="D7" s="19"/>
      <c r="E7" s="40"/>
      <c r="F7" s="40"/>
      <c r="G7" s="40"/>
      <c r="H7" s="40"/>
      <c r="I7" s="40"/>
      <c r="J7" s="19">
        <v>556</v>
      </c>
      <c r="K7" s="40"/>
      <c r="L7" s="40"/>
      <c r="M7" s="40"/>
      <c r="N7" s="40"/>
    </row>
    <row r="8" spans="1:14" ht="63.75" customHeight="1">
      <c r="A8" s="156"/>
      <c r="B8" s="28" t="s">
        <v>315</v>
      </c>
      <c r="C8" s="40"/>
      <c r="D8" s="19"/>
      <c r="E8" s="40"/>
      <c r="F8" s="40"/>
      <c r="G8" s="40"/>
      <c r="H8" s="40"/>
      <c r="I8" s="40"/>
      <c r="J8" s="19">
        <v>439</v>
      </c>
      <c r="K8" s="40"/>
      <c r="L8" s="40"/>
      <c r="M8" s="40"/>
      <c r="N8" s="40"/>
    </row>
    <row r="9" spans="1:14" ht="26.25" customHeight="1">
      <c r="A9" s="156"/>
      <c r="B9" s="28" t="s">
        <v>321</v>
      </c>
      <c r="C9" s="40"/>
      <c r="D9" s="19"/>
      <c r="E9" s="40"/>
      <c r="F9" s="40"/>
      <c r="G9" s="40"/>
      <c r="H9" s="19">
        <v>20.399999999999999</v>
      </c>
      <c r="I9" s="40"/>
      <c r="J9" s="40"/>
      <c r="K9" s="40"/>
      <c r="L9" s="40"/>
      <c r="M9" s="40"/>
      <c r="N9" s="40"/>
    </row>
    <row r="10" spans="1:14" ht="26.25" customHeight="1">
      <c r="A10" s="156"/>
      <c r="B10" s="28" t="s">
        <v>316</v>
      </c>
      <c r="C10" s="40"/>
      <c r="D10" s="19"/>
      <c r="E10" s="40"/>
      <c r="F10" s="40"/>
      <c r="G10" s="40"/>
      <c r="H10" s="19">
        <v>2940</v>
      </c>
      <c r="I10" s="40"/>
      <c r="J10" s="40"/>
      <c r="K10" s="40"/>
      <c r="L10" s="40"/>
      <c r="M10" s="40"/>
      <c r="N10" s="40"/>
    </row>
    <row r="11" spans="1:14" ht="26.25" customHeight="1">
      <c r="A11" s="156"/>
      <c r="B11" s="28" t="s">
        <v>317</v>
      </c>
      <c r="C11" s="40"/>
      <c r="D11" s="19"/>
      <c r="E11" s="40"/>
      <c r="F11" s="40"/>
      <c r="G11" s="40"/>
      <c r="H11" s="19">
        <v>186.5</v>
      </c>
      <c r="I11" s="40"/>
      <c r="J11" s="19"/>
      <c r="K11" s="40">
        <f t="shared" ref="K11:K21" si="0">C11+E11+G11+I11</f>
        <v>0</v>
      </c>
      <c r="L11" s="40">
        <f t="shared" ref="L11:L21" si="1">D11+F11+H11+J11</f>
        <v>186.5</v>
      </c>
      <c r="M11" s="40">
        <f t="shared" ref="M11:M20" si="2">K11-L11</f>
        <v>-186.5</v>
      </c>
      <c r="N11" s="94" t="e">
        <f t="shared" ref="N11:N17" si="3">L11/K11*100</f>
        <v>#DIV/0!</v>
      </c>
    </row>
    <row r="12" spans="1:14" ht="39" customHeight="1">
      <c r="A12" s="156"/>
      <c r="B12" s="28" t="s">
        <v>318</v>
      </c>
      <c r="C12" s="40"/>
      <c r="D12" s="19"/>
      <c r="E12" s="40"/>
      <c r="F12" s="40"/>
      <c r="G12" s="40"/>
      <c r="H12" s="19">
        <v>68.099999999999994</v>
      </c>
      <c r="I12" s="40"/>
      <c r="J12" s="19"/>
      <c r="K12" s="40">
        <f t="shared" si="0"/>
        <v>0</v>
      </c>
      <c r="L12" s="40">
        <f t="shared" si="1"/>
        <v>68.099999999999994</v>
      </c>
      <c r="M12" s="40">
        <f t="shared" si="2"/>
        <v>-68.099999999999994</v>
      </c>
      <c r="N12" s="40" t="e">
        <f t="shared" si="3"/>
        <v>#DIV/0!</v>
      </c>
    </row>
    <row r="13" spans="1:14" ht="24.75" customHeight="1">
      <c r="A13" s="156"/>
      <c r="B13" s="28" t="s">
        <v>319</v>
      </c>
      <c r="C13" s="40"/>
      <c r="D13" s="19"/>
      <c r="E13" s="40"/>
      <c r="F13" s="40"/>
      <c r="G13" s="40"/>
      <c r="H13" s="19">
        <v>91.6</v>
      </c>
      <c r="I13" s="40"/>
      <c r="J13" s="19"/>
      <c r="K13" s="40">
        <f t="shared" si="0"/>
        <v>0</v>
      </c>
      <c r="L13" s="40">
        <f t="shared" si="1"/>
        <v>91.6</v>
      </c>
      <c r="M13" s="40">
        <f t="shared" si="2"/>
        <v>-91.6</v>
      </c>
      <c r="N13" s="94" t="e">
        <f t="shared" si="3"/>
        <v>#DIV/0!</v>
      </c>
    </row>
    <row r="14" spans="1:14" ht="36.75" customHeight="1">
      <c r="A14" s="156"/>
      <c r="B14" s="28" t="s">
        <v>320</v>
      </c>
      <c r="C14" s="40"/>
      <c r="D14" s="19"/>
      <c r="E14" s="40"/>
      <c r="F14" s="40"/>
      <c r="G14" s="40"/>
      <c r="H14" s="19">
        <v>239.6</v>
      </c>
      <c r="I14" s="40"/>
      <c r="J14" s="19"/>
      <c r="K14" s="40">
        <f t="shared" si="0"/>
        <v>0</v>
      </c>
      <c r="L14" s="40">
        <f t="shared" si="1"/>
        <v>239.6</v>
      </c>
      <c r="M14" s="40">
        <f t="shared" si="2"/>
        <v>-239.6</v>
      </c>
      <c r="N14" s="94" t="e">
        <f t="shared" si="3"/>
        <v>#DIV/0!</v>
      </c>
    </row>
    <row r="15" spans="1:14" ht="25.5" customHeight="1">
      <c r="A15" s="156"/>
      <c r="B15" s="28" t="s">
        <v>372</v>
      </c>
      <c r="C15" s="40"/>
      <c r="D15" s="19"/>
      <c r="E15" s="40"/>
      <c r="F15" s="40"/>
      <c r="G15" s="40"/>
      <c r="H15" s="19"/>
      <c r="I15" s="40"/>
      <c r="J15" s="19">
        <v>47</v>
      </c>
      <c r="K15" s="40"/>
      <c r="L15" s="40"/>
      <c r="M15" s="40"/>
      <c r="N15" s="94"/>
    </row>
    <row r="16" spans="1:14" ht="37.5" customHeight="1">
      <c r="A16" s="156">
        <v>2</v>
      </c>
      <c r="B16" s="140" t="s">
        <v>265</v>
      </c>
      <c r="C16" s="40"/>
      <c r="D16" s="40"/>
      <c r="E16" s="40"/>
      <c r="F16" s="40"/>
      <c r="G16" s="40"/>
      <c r="H16" s="40">
        <f>H17+H18</f>
        <v>2021.1</v>
      </c>
      <c r="I16" s="40">
        <f>I17</f>
        <v>1700</v>
      </c>
      <c r="J16" s="40"/>
      <c r="K16" s="40">
        <f t="shared" si="0"/>
        <v>1700</v>
      </c>
      <c r="L16" s="40">
        <f>D16+F16+H16+J16</f>
        <v>2021.1</v>
      </c>
      <c r="M16" s="40">
        <f t="shared" si="2"/>
        <v>-321.09999999999991</v>
      </c>
      <c r="N16" s="40">
        <f t="shared" si="3"/>
        <v>118.88823529411765</v>
      </c>
    </row>
    <row r="17" spans="1:14" ht="68.25" customHeight="1">
      <c r="A17" s="58"/>
      <c r="B17" s="135" t="s">
        <v>322</v>
      </c>
      <c r="C17" s="40"/>
      <c r="D17" s="40"/>
      <c r="E17" s="40"/>
      <c r="F17" s="40"/>
      <c r="G17" s="40"/>
      <c r="H17" s="41">
        <v>1999.6</v>
      </c>
      <c r="I17" s="40">
        <v>1700</v>
      </c>
      <c r="J17" s="41"/>
      <c r="K17" s="40">
        <f t="shared" si="0"/>
        <v>1700</v>
      </c>
      <c r="L17" s="40">
        <f t="shared" si="1"/>
        <v>1999.6</v>
      </c>
      <c r="M17" s="40">
        <f t="shared" si="2"/>
        <v>-299.59999999999991</v>
      </c>
      <c r="N17" s="40">
        <f t="shared" si="3"/>
        <v>117.62352941176471</v>
      </c>
    </row>
    <row r="18" spans="1:14" ht="85.5" customHeight="1">
      <c r="A18" s="217"/>
      <c r="B18" s="135" t="s">
        <v>373</v>
      </c>
      <c r="C18" s="40"/>
      <c r="D18" s="40"/>
      <c r="E18" s="40"/>
      <c r="F18" s="40"/>
      <c r="G18" s="40"/>
      <c r="H18" s="41">
        <v>21.5</v>
      </c>
      <c r="I18" s="40"/>
      <c r="J18" s="41"/>
      <c r="K18" s="40"/>
      <c r="L18" s="40">
        <f t="shared" si="1"/>
        <v>21.5</v>
      </c>
      <c r="M18" s="40">
        <f t="shared" si="2"/>
        <v>-21.5</v>
      </c>
      <c r="N18" s="40"/>
    </row>
    <row r="19" spans="1:14" ht="85.5" customHeight="1">
      <c r="A19" s="217">
        <v>3</v>
      </c>
      <c r="B19" s="173" t="s">
        <v>374</v>
      </c>
      <c r="C19" s="40"/>
      <c r="D19" s="40"/>
      <c r="E19" s="40"/>
      <c r="F19" s="40"/>
      <c r="G19" s="40"/>
      <c r="H19" s="40">
        <v>135</v>
      </c>
      <c r="I19" s="40"/>
      <c r="J19" s="40"/>
      <c r="K19" s="40"/>
      <c r="L19" s="40">
        <f t="shared" si="1"/>
        <v>135</v>
      </c>
      <c r="M19" s="40">
        <f t="shared" si="2"/>
        <v>-135</v>
      </c>
      <c r="N19" s="40"/>
    </row>
    <row r="20" spans="1:14" ht="85.5" customHeight="1">
      <c r="A20" s="217"/>
      <c r="B20" s="261" t="s">
        <v>364</v>
      </c>
      <c r="C20" s="40"/>
      <c r="D20" s="40"/>
      <c r="E20" s="40"/>
      <c r="F20" s="40"/>
      <c r="G20" s="40"/>
      <c r="H20" s="40">
        <v>135</v>
      </c>
      <c r="I20" s="40"/>
      <c r="J20" s="41"/>
      <c r="K20" s="40"/>
      <c r="L20" s="40">
        <v>135</v>
      </c>
      <c r="M20" s="40">
        <f t="shared" si="2"/>
        <v>-135</v>
      </c>
      <c r="N20" s="40"/>
    </row>
    <row r="21" spans="1:14" ht="24.75" customHeight="1">
      <c r="A21" s="321" t="s">
        <v>7</v>
      </c>
      <c r="B21" s="322"/>
      <c r="C21" s="42"/>
      <c r="D21" s="42"/>
      <c r="E21" s="42"/>
      <c r="F21" s="42">
        <f>F6</f>
        <v>0</v>
      </c>
      <c r="G21" s="42"/>
      <c r="H21" s="42">
        <f>H6+H16+H19</f>
        <v>5702.2999999999993</v>
      </c>
      <c r="I21" s="42">
        <f>I6+I17</f>
        <v>1700</v>
      </c>
      <c r="J21" s="42">
        <f>J6+J16</f>
        <v>1042</v>
      </c>
      <c r="K21" s="40">
        <f t="shared" si="0"/>
        <v>1700</v>
      </c>
      <c r="L21" s="40">
        <f t="shared" si="1"/>
        <v>6744.2999999999993</v>
      </c>
      <c r="M21" s="40">
        <f t="shared" ref="M21" si="4">K21-L21</f>
        <v>-5044.2999999999993</v>
      </c>
      <c r="N21" s="40" t="e">
        <f>N6</f>
        <v>#DIV/0!</v>
      </c>
    </row>
    <row r="22" spans="1:14" s="8" customFormat="1" ht="81.75" customHeight="1">
      <c r="A22" s="43"/>
      <c r="B22" s="326" t="s">
        <v>132</v>
      </c>
      <c r="C22" s="326"/>
      <c r="D22" s="51"/>
      <c r="E22" s="313"/>
      <c r="F22" s="313"/>
      <c r="G22" s="51"/>
      <c r="H22" s="327" t="s">
        <v>246</v>
      </c>
      <c r="I22" s="327"/>
      <c r="J22" s="95"/>
      <c r="K22" s="43"/>
      <c r="L22" s="43"/>
      <c r="M22" s="43"/>
      <c r="N22" s="43"/>
    </row>
    <row r="23" spans="1:14" s="2" customFormat="1" ht="19.5" customHeight="1">
      <c r="A23" s="25"/>
      <c r="B23" s="25" t="s">
        <v>8</v>
      </c>
      <c r="C23" s="59"/>
      <c r="D23" s="59"/>
      <c r="E23" s="325" t="s">
        <v>249</v>
      </c>
      <c r="F23" s="325"/>
      <c r="G23" s="230"/>
      <c r="H23" s="312" t="s">
        <v>14</v>
      </c>
      <c r="I23" s="312"/>
      <c r="J23" s="230"/>
      <c r="K23" s="230"/>
      <c r="L23" s="25"/>
      <c r="M23" s="25"/>
      <c r="N23" s="25"/>
    </row>
    <row r="24" spans="1:14" ht="20.100000000000001" customHeight="1">
      <c r="B24" s="205"/>
      <c r="C24" s="44"/>
      <c r="D24" s="44"/>
      <c r="E24" s="44"/>
      <c r="F24" s="44"/>
    </row>
    <row r="25" spans="1:14" s="315" customFormat="1" ht="19.149999999999999" customHeight="1">
      <c r="A25" s="314" t="s">
        <v>46</v>
      </c>
    </row>
    <row r="28" spans="1:14">
      <c r="B28" s="45"/>
    </row>
  </sheetData>
  <mergeCells count="15">
    <mergeCell ref="H23:I23"/>
    <mergeCell ref="E22:F22"/>
    <mergeCell ref="A1:M1"/>
    <mergeCell ref="A25:XFD25"/>
    <mergeCell ref="A3:A4"/>
    <mergeCell ref="K3:N3"/>
    <mergeCell ref="A21:B21"/>
    <mergeCell ref="B3:B4"/>
    <mergeCell ref="I3:J3"/>
    <mergeCell ref="G3:H3"/>
    <mergeCell ref="E3:F3"/>
    <mergeCell ref="C3:D3"/>
    <mergeCell ref="E23:F23"/>
    <mergeCell ref="B22:C22"/>
    <mergeCell ref="H22:I22"/>
  </mergeCells>
  <phoneticPr fontId="3" type="noConversion"/>
  <printOptions horizontalCentered="1"/>
  <pageMargins left="0.39370078740157483" right="0.39370078740157483" top="0.78740157480314965" bottom="0.39370078740157483" header="0.19685039370078741" footer="0.31496062992125984"/>
  <pageSetup paperSize="9" scale="65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8</vt:i4>
      </vt:variant>
    </vt:vector>
  </HeadingPairs>
  <TitlesOfParts>
    <vt:vector size="13" baseType="lpstr">
      <vt:lpstr>Звіт про виконання показ фінпла</vt:lpstr>
      <vt:lpstr>Розшифровка 1 до Формування</vt:lpstr>
      <vt:lpstr>Розшифровка 2 до формування</vt:lpstr>
      <vt:lpstr>Розшифровка кап</vt:lpstr>
      <vt:lpstr>Розшифровка за джерелами</vt:lpstr>
      <vt:lpstr>'Звіт про виконання показ фінпла'!Заголовки_для_друку</vt:lpstr>
      <vt:lpstr>'Розшифровка 1 до Формування'!Заголовки_для_друку</vt:lpstr>
      <vt:lpstr>'Розшифровка 2 до формування'!Заголовки_для_друку</vt:lpstr>
      <vt:lpstr>'Звіт про виконання показ фінпла'!Область_друку</vt:lpstr>
      <vt:lpstr>'Розшифровка 1 до Формування'!Область_друку</vt:lpstr>
      <vt:lpstr>'Розшифровка 2 до формування'!Область_друку</vt:lpstr>
      <vt:lpstr>'Розшифровка за джерелами'!Область_друку</vt:lpstr>
      <vt:lpstr>'Розшифровка кап'!Область_друку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User</cp:lastModifiedBy>
  <cp:lastPrinted>2024-08-07T08:38:06Z</cp:lastPrinted>
  <dcterms:created xsi:type="dcterms:W3CDTF">2003-03-13T16:00:22Z</dcterms:created>
  <dcterms:modified xsi:type="dcterms:W3CDTF">2024-11-04T07:57:24Z</dcterms:modified>
</cp:coreProperties>
</file>